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cbc-my.sharepoint.com/personal/bookkeeper_nscbc_org/Documents/Desktop/Excel Financials/"/>
    </mc:Choice>
  </mc:AlternateContent>
  <xr:revisionPtr revIDLastSave="23" documentId="8_{2E9506F9-A067-4788-A6A2-476FDFAE7CD8}" xr6:coauthVersionLast="47" xr6:coauthVersionMax="47" xr10:uidLastSave="{3FD68B86-B06C-4580-823D-3C407D3D0206}"/>
  <bookViews>
    <workbookView xWindow="1200" yWindow="780" windowWidth="27705" windowHeight="14865" xr2:uid="{00000000-000D-0000-FFFF-FFFF00000000}"/>
  </bookViews>
  <sheets>
    <sheet name="2026 Budget Proposals" sheetId="3" r:id="rId1"/>
    <sheet name="2026 by Budget Area" sheetId="1" r:id="rId2"/>
    <sheet name="2026 by Accoun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3" l="1"/>
  <c r="C36" i="3" s="1"/>
  <c r="C37" i="3" s="1"/>
  <c r="B34" i="3"/>
  <c r="B36" i="3" s="1"/>
  <c r="B37" i="3" s="1"/>
  <c r="C33" i="3"/>
  <c r="B33" i="3"/>
  <c r="C18" i="3"/>
  <c r="B18" i="3"/>
  <c r="B17" i="3"/>
  <c r="B15" i="3"/>
  <c r="C13" i="3"/>
  <c r="C22" i="3" s="1"/>
  <c r="C23" i="3" s="1"/>
  <c r="B13" i="3"/>
  <c r="B22" i="3" s="1"/>
  <c r="B23" i="3" s="1"/>
  <c r="B130" i="2" l="1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2" i="2"/>
  <c r="B81" i="2"/>
  <c r="B80" i="2"/>
  <c r="B79" i="2"/>
  <c r="B83" i="2" s="1"/>
  <c r="B77" i="2"/>
  <c r="B76" i="2"/>
  <c r="B75" i="2"/>
  <c r="B74" i="2"/>
  <c r="B73" i="2"/>
  <c r="B71" i="2"/>
  <c r="B70" i="2"/>
  <c r="B69" i="2"/>
  <c r="B68" i="2"/>
  <c r="B72" i="2" s="1"/>
  <c r="B65" i="2"/>
  <c r="B64" i="2"/>
  <c r="B66" i="2" s="1"/>
  <c r="B63" i="2"/>
  <c r="B62" i="2"/>
  <c r="B61" i="2"/>
  <c r="B59" i="2"/>
  <c r="B58" i="2"/>
  <c r="B57" i="2"/>
  <c r="B56" i="2"/>
  <c r="B54" i="2"/>
  <c r="B53" i="2"/>
  <c r="B52" i="2"/>
  <c r="B55" i="2" s="1"/>
  <c r="B50" i="2"/>
  <c r="B49" i="2"/>
  <c r="B48" i="2"/>
  <c r="B47" i="2"/>
  <c r="B46" i="2"/>
  <c r="B45" i="2"/>
  <c r="B44" i="2"/>
  <c r="B42" i="2"/>
  <c r="B41" i="2"/>
  <c r="B40" i="2"/>
  <c r="B39" i="2"/>
  <c r="B38" i="2"/>
  <c r="B37" i="2"/>
  <c r="B36" i="2"/>
  <c r="B35" i="2"/>
  <c r="B33" i="2"/>
  <c r="B32" i="2"/>
  <c r="B34" i="2" s="1"/>
  <c r="B43" i="2" s="1"/>
  <c r="B28" i="2"/>
  <c r="B27" i="2"/>
  <c r="B26" i="2"/>
  <c r="B25" i="2"/>
  <c r="B29" i="2" s="1"/>
  <c r="B20" i="2"/>
  <c r="B19" i="2"/>
  <c r="B18" i="2"/>
  <c r="B17" i="2"/>
  <c r="B15" i="2"/>
  <c r="B14" i="2"/>
  <c r="B16" i="2" s="1"/>
  <c r="B11" i="2"/>
  <c r="B10" i="2"/>
  <c r="B12" i="2" s="1"/>
  <c r="B21" i="2" s="1"/>
  <c r="B22" i="2" s="1"/>
  <c r="B8" i="2"/>
  <c r="B131" i="2" l="1"/>
  <c r="B132" i="2" s="1"/>
  <c r="B133" i="2" s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8" i="1"/>
  <c r="B27" i="1"/>
  <c r="B25" i="1"/>
  <c r="B23" i="1"/>
  <c r="B22" i="1"/>
  <c r="B21" i="1"/>
  <c r="B20" i="1"/>
  <c r="B19" i="1"/>
  <c r="B18" i="1"/>
  <c r="B24" i="1" s="1"/>
  <c r="B15" i="1"/>
  <c r="B14" i="1"/>
  <c r="B13" i="1"/>
  <c r="B12" i="1"/>
  <c r="B11" i="1"/>
  <c r="B16" i="1" s="1"/>
  <c r="B9" i="1"/>
  <c r="B8" i="1"/>
  <c r="B26" i="1" l="1"/>
  <c r="B46" i="1" s="1"/>
  <c r="B47" i="1" s="1"/>
</calcChain>
</file>

<file path=xl/sharedStrings.xml><?xml version="1.0" encoding="utf-8"?>
<sst xmlns="http://schemas.openxmlformats.org/spreadsheetml/2006/main" count="208" uniqueCount="178">
  <si>
    <t>Total</t>
  </si>
  <si>
    <t>910 Unrestricted Funds</t>
  </si>
  <si>
    <t xml:space="preserve">   100 Administration</t>
  </si>
  <si>
    <t xml:space="preserve">      110 Church Business</t>
  </si>
  <si>
    <t xml:space="preserve">      120 Finance</t>
  </si>
  <si>
    <t xml:space="preserve">      130 Facilities</t>
  </si>
  <si>
    <t xml:space="preserve">         130 Caretaker's Apt</t>
  </si>
  <si>
    <t xml:space="preserve">         130 Facilities Expenses</t>
  </si>
  <si>
    <t xml:space="preserve">         130 Fam Rm Building</t>
  </si>
  <si>
    <t xml:space="preserve">         130 Main Building</t>
  </si>
  <si>
    <t xml:space="preserve">         130 Parsonage</t>
  </si>
  <si>
    <t xml:space="preserve">      Total 130 Facilities</t>
  </si>
  <si>
    <t xml:space="preserve">      140 Personnel</t>
  </si>
  <si>
    <t xml:space="preserve">         140  Assoc. Pastor</t>
  </si>
  <si>
    <t xml:space="preserve">         140 Children's Minister</t>
  </si>
  <si>
    <t xml:space="preserve">         140 Personnel Expenses</t>
  </si>
  <si>
    <t xml:space="preserve">         140 Senior Pastor</t>
  </si>
  <si>
    <t xml:space="preserve">         140 Worship Minister</t>
  </si>
  <si>
    <t xml:space="preserve">         140 Youth Minister</t>
  </si>
  <si>
    <t xml:space="preserve">      Total 140 Personnel</t>
  </si>
  <si>
    <t xml:space="preserve">      170 Elders</t>
  </si>
  <si>
    <t xml:space="preserve">   Total 100 Administration</t>
  </si>
  <si>
    <t xml:space="preserve">   200 Worship</t>
  </si>
  <si>
    <t xml:space="preserve">   300 Children's Ministry</t>
  </si>
  <si>
    <t xml:space="preserve">   400 Outreach</t>
  </si>
  <si>
    <t xml:space="preserve">      400 Alpha Ministry</t>
  </si>
  <si>
    <t xml:space="preserve">      400 Beverly Downtown Dinner</t>
  </si>
  <si>
    <t xml:space="preserve">      400 Foster Care</t>
  </si>
  <si>
    <t xml:space="preserve">      400 GriefShare</t>
  </si>
  <si>
    <t xml:space="preserve">      400 Night to Shine</t>
  </si>
  <si>
    <t xml:space="preserve">      400 Other Local Outreach</t>
  </si>
  <si>
    <t xml:space="preserve">      400 Outreach Ministry</t>
  </si>
  <si>
    <t xml:space="preserve">      400 Shine On</t>
  </si>
  <si>
    <t xml:space="preserve">      400 WIT Ministry</t>
  </si>
  <si>
    <t xml:space="preserve">   Total 400 Outreach</t>
  </si>
  <si>
    <t xml:space="preserve">   500 Deacons at Large</t>
  </si>
  <si>
    <t xml:space="preserve">   600 Youth Ministry</t>
  </si>
  <si>
    <t xml:space="preserve">   670 Discipleship</t>
  </si>
  <si>
    <t>Total 910 Unrestricted Funds</t>
  </si>
  <si>
    <t>TOTAL</t>
  </si>
  <si>
    <t>North Shore Community Baptist Church Inc.</t>
  </si>
  <si>
    <t xml:space="preserve">   900 General Fund Income</t>
  </si>
  <si>
    <t xml:space="preserve">      400 MOPS (MomCo)</t>
  </si>
  <si>
    <t xml:space="preserve">   686 Capital Equip Fund Transfer</t>
  </si>
  <si>
    <t>2026 Proposed Budget Overview</t>
  </si>
  <si>
    <t>January - December 2026</t>
  </si>
  <si>
    <t>2026 Proposed Budget Overview by Account</t>
  </si>
  <si>
    <t>Budget</t>
  </si>
  <si>
    <t>Income</t>
  </si>
  <si>
    <t xml:space="preserve">   4100 Offerings</t>
  </si>
  <si>
    <t xml:space="preserve">   4300 Other Operating Income</t>
  </si>
  <si>
    <t xml:space="preserve">      4320 Wedding, Funeral &amp; Memorial</t>
  </si>
  <si>
    <t xml:space="preserve">      4390 Other Miscellaneous Income</t>
  </si>
  <si>
    <t xml:space="preserve">   Total 4300 Other Operating Income</t>
  </si>
  <si>
    <t xml:space="preserve">   4400 Income-Other Operating Areas</t>
  </si>
  <si>
    <t xml:space="preserve">      4410 Lease Income-Cell Towers</t>
  </si>
  <si>
    <t xml:space="preserve">      4420 Church Usage</t>
  </si>
  <si>
    <t xml:space="preserve">   Total 4400 Income-Other Operating Areas</t>
  </si>
  <si>
    <t xml:space="preserve">   4510 Bank Interest Earned</t>
  </si>
  <si>
    <t xml:space="preserve">   4520 Realized Gain/Loss - Investment</t>
  </si>
  <si>
    <t xml:space="preserve">   4530 Unrealized Gain/Loss-Investment</t>
  </si>
  <si>
    <t xml:space="preserve">   4540 Fidelity Dividends/Interest</t>
  </si>
  <si>
    <t>Total Income</t>
  </si>
  <si>
    <t>Gross Profit</t>
  </si>
  <si>
    <t>Expenses</t>
  </si>
  <si>
    <t xml:space="preserve">   6000 Facilities-Utilities</t>
  </si>
  <si>
    <t xml:space="preserve">      6001 Electricity</t>
  </si>
  <si>
    <t xml:space="preserve">      6010 Gas</t>
  </si>
  <si>
    <t xml:space="preserve">      6020 Water &amp; Sewer</t>
  </si>
  <si>
    <t xml:space="preserve">      6030 Trash</t>
  </si>
  <si>
    <t xml:space="preserve">   Total 6000 Facilities-Utilities</t>
  </si>
  <si>
    <t xml:space="preserve">   6100 Facilities-Other</t>
  </si>
  <si>
    <t xml:space="preserve">      6110 Building Repairs &amp; Maintenance</t>
  </si>
  <si>
    <t xml:space="preserve">         6111 Building Maintenance &amp; Repairs</t>
  </si>
  <si>
    <t xml:space="preserve">         6115 Maintenance Materials</t>
  </si>
  <si>
    <t xml:space="preserve">      Total 6110 Building Repairs &amp; Maintenance</t>
  </si>
  <si>
    <t xml:space="preserve">      6120 Grounds Maintenance</t>
  </si>
  <si>
    <t xml:space="preserve">      6121 Snow Removal</t>
  </si>
  <si>
    <t xml:space="preserve">      6130 Custodial Supplies</t>
  </si>
  <si>
    <t xml:space="preserve">      6131 Kitchen Supplies</t>
  </si>
  <si>
    <t xml:space="preserve">      6140 Property &amp; Liability Insurance</t>
  </si>
  <si>
    <t xml:space="preserve">      6150 Safety</t>
  </si>
  <si>
    <t xml:space="preserve">      6151 Inspections</t>
  </si>
  <si>
    <t xml:space="preserve">      6191 Custodial Cleaning Services</t>
  </si>
  <si>
    <t xml:space="preserve">   Total 6100 Facilities-Other</t>
  </si>
  <si>
    <t xml:space="preserve">   6310 Office Supplies</t>
  </si>
  <si>
    <t xml:space="preserve">   6311 Paper Supplies</t>
  </si>
  <si>
    <t xml:space="preserve">   6312 Off-site Printing</t>
  </si>
  <si>
    <t xml:space="preserve">   6320 Postage &amp; Delivery</t>
  </si>
  <si>
    <t xml:space="preserve">   6330 Telephone &amp; Internet</t>
  </si>
  <si>
    <t xml:space="preserve">   6335 General Audio/Visual</t>
  </si>
  <si>
    <t xml:space="preserve">   6340 Printing Equip &amp; Maintenance</t>
  </si>
  <si>
    <t xml:space="preserve">   6350 Information Technology</t>
  </si>
  <si>
    <t xml:space="preserve">      6351 IT Support</t>
  </si>
  <si>
    <t xml:space="preserve">      6352 Computer Replacement</t>
  </si>
  <si>
    <t xml:space="preserve">      6353 Fees and Programs</t>
  </si>
  <si>
    <t xml:space="preserve">   Total 6350 Information Technology</t>
  </si>
  <si>
    <t xml:space="preserve">   6360 Promotions</t>
  </si>
  <si>
    <t xml:space="preserve">   6370 Leadership Development</t>
  </si>
  <si>
    <t xml:space="preserve">   6371 Background Checks</t>
  </si>
  <si>
    <t xml:space="preserve">   6372 Vendor Memberships</t>
  </si>
  <si>
    <t xml:space="preserve">   6380 Financial Fees</t>
  </si>
  <si>
    <t xml:space="preserve">      6381 Bank Service Charges</t>
  </si>
  <si>
    <t xml:space="preserve">      6382 Professional Fees</t>
  </si>
  <si>
    <t xml:space="preserve">      6383 Payroll Service Fees</t>
  </si>
  <si>
    <t xml:space="preserve">      6384 Financial Publications</t>
  </si>
  <si>
    <t xml:space="preserve">      6385 Online Charges</t>
  </si>
  <si>
    <t xml:space="preserve">   Total 6380 Financial Fees</t>
  </si>
  <si>
    <t xml:space="preserve">   6400 Payroll Expenses</t>
  </si>
  <si>
    <t xml:space="preserve">      6410 Church Staff Payroll</t>
  </si>
  <si>
    <t xml:space="preserve">      6420 Employer Payroll Taxes</t>
  </si>
  <si>
    <t xml:space="preserve">      6430 Housing Allowance</t>
  </si>
  <si>
    <t xml:space="preserve">      6440 Workman's Compensation</t>
  </si>
  <si>
    <t xml:space="preserve">   Total 6400 Payroll Expenses</t>
  </si>
  <si>
    <t xml:space="preserve">   6450 Staffing Search Expense</t>
  </si>
  <si>
    <t xml:space="preserve">   6455 Guest Preachers</t>
  </si>
  <si>
    <t xml:space="preserve">   6460 Ministry &amp; Mileage</t>
  </si>
  <si>
    <t xml:space="preserve">   6470 Education &amp; Resource</t>
  </si>
  <si>
    <t xml:space="preserve">   6480 Miscellaneous</t>
  </si>
  <si>
    <t xml:space="preserve">   6500 Employee Benefits</t>
  </si>
  <si>
    <t xml:space="preserve">      6510 Health Insurance</t>
  </si>
  <si>
    <t xml:space="preserve">      6520 Retirement Benefit</t>
  </si>
  <si>
    <t xml:space="preserve">      6530 Long Term Disability Insurance</t>
  </si>
  <si>
    <t xml:space="preserve">      6540 Dental Insurance</t>
  </si>
  <si>
    <t xml:space="preserve">   Total 6500 Employee Benefits</t>
  </si>
  <si>
    <t xml:space="preserve">   6600 Ministry Area Expenses</t>
  </si>
  <si>
    <t xml:space="preserve">      6602 Choir Music</t>
  </si>
  <si>
    <t xml:space="preserve">      6603 Communion</t>
  </si>
  <si>
    <t xml:space="preserve">      6604 Copyright License</t>
  </si>
  <si>
    <t xml:space="preserve">      6607 Instrument Maintenance</t>
  </si>
  <si>
    <t xml:space="preserve">      6608 Worship Audio/Visual</t>
  </si>
  <si>
    <t xml:space="preserve">      6610 Worship Aids</t>
  </si>
  <si>
    <t xml:space="preserve">      6611 Worship Media</t>
  </si>
  <si>
    <t xml:space="preserve">      6612 Worship Team</t>
  </si>
  <si>
    <t xml:space="preserve">      6613 Arts Ministry</t>
  </si>
  <si>
    <t xml:space="preserve">      6620 Youth Discipleship</t>
  </si>
  <si>
    <t xml:space="preserve">      6621 Youth General Supplies</t>
  </si>
  <si>
    <t xml:space="preserve">      6623 Youth Staff/Leaders</t>
  </si>
  <si>
    <t xml:space="preserve">      6624 Youth Events &amp; Outings</t>
  </si>
  <si>
    <t xml:space="preserve">      6630 Christian Formation</t>
  </si>
  <si>
    <t xml:space="preserve">      6631 Children's General Supplies</t>
  </si>
  <si>
    <t xml:space="preserve">      6632 Children's Worship</t>
  </si>
  <si>
    <t xml:space="preserve">      6633 Library</t>
  </si>
  <si>
    <t xml:space="preserve">      6635 Nursery</t>
  </si>
  <si>
    <t xml:space="preserve">      6636 Sunday School</t>
  </si>
  <si>
    <t xml:space="preserve">      6637 Toddlers</t>
  </si>
  <si>
    <t xml:space="preserve">      6638 Vacation Bible School</t>
  </si>
  <si>
    <t xml:space="preserve">      6639 Volunteer Development</t>
  </si>
  <si>
    <t xml:space="preserve">      6640 World Partners</t>
  </si>
  <si>
    <t xml:space="preserve">      6641 Retired Benevolence</t>
  </si>
  <si>
    <t xml:space="preserve">      6642 Local Outreach Ministries</t>
  </si>
  <si>
    <t xml:space="preserve">      6643 Evening Service</t>
  </si>
  <si>
    <t xml:space="preserve">      6645 World Mission Miscellaneous</t>
  </si>
  <si>
    <t xml:space="preserve">      6646 OMF</t>
  </si>
  <si>
    <t xml:space="preserve">      6647 Local Partners</t>
  </si>
  <si>
    <t xml:space="preserve">      6650 Sunday Fellowship</t>
  </si>
  <si>
    <t xml:space="preserve">      6651 Receptions</t>
  </si>
  <si>
    <t xml:space="preserve">      6652 Visitation/Encouragement</t>
  </si>
  <si>
    <t xml:space="preserve">      6654 Connect Ministries</t>
  </si>
  <si>
    <t xml:space="preserve">      6655 Hospitality</t>
  </si>
  <si>
    <t xml:space="preserve">      6656 Staff Receptions</t>
  </si>
  <si>
    <t xml:space="preserve">      6657 Deacons Fellowship Events</t>
  </si>
  <si>
    <t xml:space="preserve">      6658 General Fellowship</t>
  </si>
  <si>
    <t xml:space="preserve">      6660 College Ministry Expense</t>
  </si>
  <si>
    <t xml:space="preserve">      6670 Small Groups</t>
  </si>
  <si>
    <t xml:space="preserve">      6671 Discipleship General Supplies</t>
  </si>
  <si>
    <t xml:space="preserve">      6673 Mentored Ministry</t>
  </si>
  <si>
    <t xml:space="preserve">      6674 Marriage Course</t>
  </si>
  <si>
    <t xml:space="preserve">   Total 6600 Ministry Area Expenses</t>
  </si>
  <si>
    <t xml:space="preserve">   6700 Converge NE Admin Support</t>
  </si>
  <si>
    <t xml:space="preserve">   6701 North Shore Gospel Partnership</t>
  </si>
  <si>
    <t xml:space="preserve">   6760 General Fund Transfer to Capital Equip Fund</t>
  </si>
  <si>
    <t>Total Expenses</t>
  </si>
  <si>
    <t>Net Operating Income</t>
  </si>
  <si>
    <t>Net Income</t>
  </si>
  <si>
    <t>2026 Expense Budget Proposal</t>
  </si>
  <si>
    <t xml:space="preserve">   685 Cash Flow Fund Transfer</t>
  </si>
  <si>
    <t>2026 Income Budget 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</si>
</sst>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_€"/>
    <numFmt numFmtId="165" formatCode="&quot;$&quot;* #,##0.00\ _€"/>
    <numFmt numFmtId="166" formatCode="_(&quot;$&quot;* #,##0.00_);_(&quot;$&quot;* \(#,##0.00\);_(&quot;$&quot;* &quot;-&quot;??_);_(* @_)"/>
  </numFmts>
  <fonts count="6" x14ac:knownFonts="1">
    <font>
      <sz val="11"/>
      <color indexed="8"/>
      <name val="Aptos Narrow"/>
      <family val="2"/>
      <scheme val="minor"/>
    </font>
    <font>
      <b/>
      <sz val="9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4"/>
      <color indexed="8"/>
      <name val="Arial"/>
    </font>
    <font>
      <b/>
      <sz val="10"/>
      <color indexed="8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9" fontId="3" fillId="0" borderId="0" xfId="0" applyNumberFormat="1" applyFont="1" applyAlignment="1">
      <alignment wrapText="1"/>
    </xf>
    <xf numFmtId="39" fontId="3" fillId="0" borderId="0" xfId="0" applyNumberFormat="1" applyFont="1" applyAlignment="1">
      <alignment horizontal="right" wrapText="1"/>
    </xf>
    <xf numFmtId="166" fontId="2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92F77-4124-4098-BD70-95800397E081}">
  <dimension ref="A1:C37"/>
  <sheetViews>
    <sheetView tabSelected="1" workbookViewId="0">
      <selection sqref="A1:B1"/>
    </sheetView>
  </sheetViews>
  <sheetFormatPr defaultRowHeight="15" x14ac:dyDescent="0.25"/>
  <cols>
    <col min="1" max="1" width="40.85546875" customWidth="1"/>
    <col min="2" max="2" width="19.140625" customWidth="1"/>
    <col min="3" max="3" width="16.42578125" customWidth="1"/>
  </cols>
  <sheetData>
    <row r="1" spans="1:3" ht="18" x14ac:dyDescent="0.25">
      <c r="A1" s="10" t="s">
        <v>40</v>
      </c>
      <c r="B1" s="9"/>
    </row>
    <row r="2" spans="1:3" ht="18" x14ac:dyDescent="0.25">
      <c r="A2" s="10" t="s">
        <v>175</v>
      </c>
      <c r="B2" s="10"/>
      <c r="C2" s="10"/>
    </row>
    <row r="4" spans="1:3" x14ac:dyDescent="0.25">
      <c r="A4" s="1"/>
      <c r="B4" s="1"/>
    </row>
    <row r="5" spans="1:3" x14ac:dyDescent="0.25">
      <c r="A5" s="1"/>
      <c r="B5" s="2">
        <v>2025</v>
      </c>
      <c r="C5" s="2">
        <v>2026</v>
      </c>
    </row>
    <row r="6" spans="1:3" x14ac:dyDescent="0.25">
      <c r="A6" s="3" t="s">
        <v>1</v>
      </c>
      <c r="C6" s="4"/>
    </row>
    <row r="7" spans="1:3" x14ac:dyDescent="0.25">
      <c r="A7" s="3" t="s">
        <v>2</v>
      </c>
      <c r="C7" s="4"/>
    </row>
    <row r="8" spans="1:3" x14ac:dyDescent="0.25">
      <c r="A8" s="3" t="s">
        <v>3</v>
      </c>
      <c r="B8" s="5">
        <v>30710</v>
      </c>
      <c r="C8" s="5">
        <v>32866</v>
      </c>
    </row>
    <row r="9" spans="1:3" x14ac:dyDescent="0.25">
      <c r="A9" s="3" t="s">
        <v>4</v>
      </c>
      <c r="B9" s="5">
        <v>45561</v>
      </c>
      <c r="C9" s="5">
        <v>36783</v>
      </c>
    </row>
    <row r="10" spans="1:3" x14ac:dyDescent="0.25">
      <c r="A10" s="3" t="s">
        <v>5</v>
      </c>
      <c r="B10" s="5">
        <v>120932</v>
      </c>
      <c r="C10" s="5">
        <v>128330</v>
      </c>
    </row>
    <row r="11" spans="1:3" x14ac:dyDescent="0.25">
      <c r="A11" s="3" t="s">
        <v>12</v>
      </c>
      <c r="B11" s="5">
        <v>702425</v>
      </c>
      <c r="C11" s="5">
        <v>753683</v>
      </c>
    </row>
    <row r="12" spans="1:3" x14ac:dyDescent="0.25">
      <c r="A12" s="3" t="s">
        <v>20</v>
      </c>
      <c r="B12" s="5">
        <v>9020</v>
      </c>
      <c r="C12" s="5">
        <v>11050</v>
      </c>
    </row>
    <row r="13" spans="1:3" x14ac:dyDescent="0.25">
      <c r="A13" s="3" t="s">
        <v>21</v>
      </c>
      <c r="B13" s="7">
        <f>(((((B7)+(B8))+(B9))+(B10))+(B11))+(B12)</f>
        <v>908648</v>
      </c>
      <c r="C13" s="7">
        <f>(((((C7)+(C8))+(C9))+(C10))+(C11))+(C12)</f>
        <v>962712</v>
      </c>
    </row>
    <row r="14" spans="1:3" x14ac:dyDescent="0.25">
      <c r="A14" s="3" t="s">
        <v>22</v>
      </c>
      <c r="B14" s="5">
        <v>21975</v>
      </c>
      <c r="C14" s="5">
        <v>12388</v>
      </c>
    </row>
    <row r="15" spans="1:3" x14ac:dyDescent="0.25">
      <c r="A15" s="3" t="s">
        <v>23</v>
      </c>
      <c r="B15" s="5">
        <f>(-11050)*-1</f>
        <v>11050</v>
      </c>
      <c r="C15" s="5">
        <v>11550</v>
      </c>
    </row>
    <row r="16" spans="1:3" x14ac:dyDescent="0.25">
      <c r="A16" s="3" t="s">
        <v>24</v>
      </c>
      <c r="B16" s="5">
        <v>120999</v>
      </c>
      <c r="C16" s="5">
        <v>140461</v>
      </c>
    </row>
    <row r="17" spans="1:3" x14ac:dyDescent="0.25">
      <c r="A17" s="3" t="s">
        <v>35</v>
      </c>
      <c r="B17" s="5">
        <f>(-8800)*-1</f>
        <v>8800</v>
      </c>
      <c r="C17" s="5">
        <v>9200</v>
      </c>
    </row>
    <row r="18" spans="1:3" x14ac:dyDescent="0.25">
      <c r="A18" s="3" t="s">
        <v>36</v>
      </c>
      <c r="B18" s="5">
        <f>(-7500)*-1</f>
        <v>7500</v>
      </c>
      <c r="C18" s="5">
        <f>(-7500)*-1</f>
        <v>7500</v>
      </c>
    </row>
    <row r="19" spans="1:3" x14ac:dyDescent="0.25">
      <c r="A19" s="3" t="s">
        <v>37</v>
      </c>
      <c r="B19" s="5">
        <v>5600</v>
      </c>
      <c r="C19" s="5">
        <v>5300</v>
      </c>
    </row>
    <row r="20" spans="1:3" x14ac:dyDescent="0.25">
      <c r="A20" s="3" t="s">
        <v>176</v>
      </c>
      <c r="B20" s="5">
        <v>20000</v>
      </c>
      <c r="C20" s="5"/>
    </row>
    <row r="21" spans="1:3" x14ac:dyDescent="0.25">
      <c r="A21" s="3" t="s">
        <v>43</v>
      </c>
      <c r="B21" s="5"/>
      <c r="C21" s="5">
        <v>20000</v>
      </c>
    </row>
    <row r="22" spans="1:3" x14ac:dyDescent="0.25">
      <c r="A22" s="3" t="s">
        <v>38</v>
      </c>
      <c r="B22" s="7">
        <f>(((((((B6)+(B13))+(B14))+(B15))+(B16))+(B17))+(B18))+(B19)+B20</f>
        <v>1104572</v>
      </c>
      <c r="C22" s="7">
        <f>((((((((C6)+(C13))+(C14))+(C15))+(C16))+(C17))+(C18))+(C19))+(C20)+C21</f>
        <v>1169111</v>
      </c>
    </row>
    <row r="23" spans="1:3" x14ac:dyDescent="0.25">
      <c r="A23" s="3" t="s">
        <v>39</v>
      </c>
      <c r="B23" s="7">
        <f>B22</f>
        <v>1104572</v>
      </c>
      <c r="C23" s="7">
        <f>C22</f>
        <v>1169111</v>
      </c>
    </row>
    <row r="24" spans="1:3" x14ac:dyDescent="0.25">
      <c r="A24" s="3"/>
      <c r="B24" s="4"/>
    </row>
    <row r="25" spans="1:3" ht="18" x14ac:dyDescent="0.25">
      <c r="A25" s="10" t="s">
        <v>177</v>
      </c>
      <c r="B25" s="9"/>
      <c r="C25" s="9"/>
    </row>
    <row r="26" spans="1:3" x14ac:dyDescent="0.25">
      <c r="A26" s="1"/>
    </row>
    <row r="27" spans="1:3" x14ac:dyDescent="0.25">
      <c r="A27" s="1"/>
      <c r="B27" s="2">
        <v>2025</v>
      </c>
      <c r="C27" s="2">
        <v>2026</v>
      </c>
    </row>
    <row r="28" spans="1:3" x14ac:dyDescent="0.25">
      <c r="A28" s="3" t="s">
        <v>48</v>
      </c>
      <c r="B28" s="12"/>
      <c r="C28" s="12"/>
    </row>
    <row r="29" spans="1:3" x14ac:dyDescent="0.25">
      <c r="A29" s="3" t="s">
        <v>49</v>
      </c>
      <c r="B29" s="13">
        <v>970178</v>
      </c>
      <c r="C29" s="13">
        <v>1052111</v>
      </c>
    </row>
    <row r="30" spans="1:3" x14ac:dyDescent="0.25">
      <c r="A30" s="3" t="s">
        <v>54</v>
      </c>
      <c r="B30" s="12"/>
      <c r="C30" s="12"/>
    </row>
    <row r="31" spans="1:3" x14ac:dyDescent="0.25">
      <c r="A31" s="3" t="s">
        <v>55</v>
      </c>
      <c r="B31" s="13">
        <v>94394</v>
      </c>
      <c r="C31" s="13">
        <v>80000</v>
      </c>
    </row>
    <row r="32" spans="1:3" x14ac:dyDescent="0.25">
      <c r="A32" s="3" t="s">
        <v>56</v>
      </c>
      <c r="B32" s="13">
        <v>20000</v>
      </c>
      <c r="C32" s="13">
        <v>25000</v>
      </c>
    </row>
    <row r="33" spans="1:3" x14ac:dyDescent="0.25">
      <c r="A33" s="3" t="s">
        <v>57</v>
      </c>
      <c r="B33" s="14">
        <f>(B31)+(B32)</f>
        <v>114394</v>
      </c>
      <c r="C33" s="14">
        <f>(C31)+(C32)</f>
        <v>105000</v>
      </c>
    </row>
    <row r="34" spans="1:3" x14ac:dyDescent="0.25">
      <c r="A34" s="3" t="s">
        <v>58</v>
      </c>
      <c r="B34" s="13">
        <f>400</f>
        <v>400</v>
      </c>
      <c r="C34" s="13">
        <f>400</f>
        <v>400</v>
      </c>
    </row>
    <row r="35" spans="1:3" x14ac:dyDescent="0.25">
      <c r="A35" s="3" t="s">
        <v>61</v>
      </c>
      <c r="B35" s="13">
        <v>19600</v>
      </c>
      <c r="C35" s="13">
        <v>11600</v>
      </c>
    </row>
    <row r="36" spans="1:3" x14ac:dyDescent="0.25">
      <c r="A36" s="3" t="s">
        <v>62</v>
      </c>
      <c r="B36" s="14">
        <f>(((B29)+(B33))+(B34))+(B35)</f>
        <v>1104572</v>
      </c>
      <c r="C36" s="14">
        <f>(((C29)+(C33))+(C34))+(C35)</f>
        <v>1169111</v>
      </c>
    </row>
    <row r="37" spans="1:3" x14ac:dyDescent="0.25">
      <c r="A37" s="3" t="s">
        <v>63</v>
      </c>
      <c r="B37" s="14">
        <f>(B36)-(0)</f>
        <v>1104572</v>
      </c>
      <c r="C37" s="14">
        <f>(C36)-(0)</f>
        <v>1169111</v>
      </c>
    </row>
  </sheetData>
  <mergeCells count="3">
    <mergeCell ref="A1:B1"/>
    <mergeCell ref="A2:C2"/>
    <mergeCell ref="A25:C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1"/>
  <sheetViews>
    <sheetView workbookViewId="0">
      <selection sqref="A1:B1"/>
    </sheetView>
  </sheetViews>
  <sheetFormatPr defaultRowHeight="15" x14ac:dyDescent="0.25"/>
  <cols>
    <col min="1" max="2" width="36.140625" customWidth="1"/>
  </cols>
  <sheetData>
    <row r="1" spans="1:2" ht="18" x14ac:dyDescent="0.25">
      <c r="A1" s="10" t="s">
        <v>40</v>
      </c>
      <c r="B1" s="9"/>
    </row>
    <row r="2" spans="1:2" ht="18" x14ac:dyDescent="0.25">
      <c r="A2" s="10" t="s">
        <v>44</v>
      </c>
      <c r="B2" s="9"/>
    </row>
    <row r="3" spans="1:2" x14ac:dyDescent="0.25">
      <c r="A3" s="11" t="s">
        <v>45</v>
      </c>
      <c r="B3" s="9"/>
    </row>
    <row r="5" spans="1:2" x14ac:dyDescent="0.25">
      <c r="A5" s="1"/>
      <c r="B5" s="2" t="s">
        <v>0</v>
      </c>
    </row>
    <row r="6" spans="1:2" x14ac:dyDescent="0.25">
      <c r="A6" s="3" t="s">
        <v>1</v>
      </c>
      <c r="B6" s="4"/>
    </row>
    <row r="7" spans="1:2" x14ac:dyDescent="0.25">
      <c r="A7" s="3" t="s">
        <v>2</v>
      </c>
      <c r="B7" s="4"/>
    </row>
    <row r="8" spans="1:2" x14ac:dyDescent="0.25">
      <c r="A8" s="3" t="s">
        <v>3</v>
      </c>
      <c r="B8" s="5">
        <f>-32866</f>
        <v>-32866</v>
      </c>
    </row>
    <row r="9" spans="1:2" x14ac:dyDescent="0.25">
      <c r="A9" s="3" t="s">
        <v>4</v>
      </c>
      <c r="B9" s="5">
        <f>-36783</f>
        <v>-36783</v>
      </c>
    </row>
    <row r="10" spans="1:2" x14ac:dyDescent="0.25">
      <c r="A10" s="3" t="s">
        <v>5</v>
      </c>
      <c r="B10" s="4"/>
    </row>
    <row r="11" spans="1:2" x14ac:dyDescent="0.25">
      <c r="A11" s="3" t="s">
        <v>6</v>
      </c>
      <c r="B11" s="5">
        <f>-4765</f>
        <v>-4765</v>
      </c>
    </row>
    <row r="12" spans="1:2" x14ac:dyDescent="0.25">
      <c r="A12" s="3" t="s">
        <v>7</v>
      </c>
      <c r="B12" s="5">
        <f>-48548</f>
        <v>-48548</v>
      </c>
    </row>
    <row r="13" spans="1:2" x14ac:dyDescent="0.25">
      <c r="A13" s="3" t="s">
        <v>8</v>
      </c>
      <c r="B13" s="5">
        <f>-17800</f>
        <v>-17800</v>
      </c>
    </row>
    <row r="14" spans="1:2" x14ac:dyDescent="0.25">
      <c r="A14" s="3" t="s">
        <v>9</v>
      </c>
      <c r="B14" s="5">
        <f>-51308</f>
        <v>-51308</v>
      </c>
    </row>
    <row r="15" spans="1:2" x14ac:dyDescent="0.25">
      <c r="A15" s="3" t="s">
        <v>10</v>
      </c>
      <c r="B15" s="5">
        <f>-5909</f>
        <v>-5909</v>
      </c>
    </row>
    <row r="16" spans="1:2" x14ac:dyDescent="0.25">
      <c r="A16" s="3" t="s">
        <v>11</v>
      </c>
      <c r="B16" s="6">
        <f>(((((B10)+(B11))+(B12))+(B13))+(B14))+(B15)</f>
        <v>-128330</v>
      </c>
    </row>
    <row r="17" spans="1:2" x14ac:dyDescent="0.25">
      <c r="A17" s="3" t="s">
        <v>12</v>
      </c>
      <c r="B17" s="4"/>
    </row>
    <row r="18" spans="1:2" x14ac:dyDescent="0.25">
      <c r="A18" s="3" t="s">
        <v>13</v>
      </c>
      <c r="B18" s="5">
        <f>-2400</f>
        <v>-2400</v>
      </c>
    </row>
    <row r="19" spans="1:2" x14ac:dyDescent="0.25">
      <c r="A19" s="3" t="s">
        <v>14</v>
      </c>
      <c r="B19" s="5">
        <f>-2000</f>
        <v>-2000</v>
      </c>
    </row>
    <row r="20" spans="1:2" x14ac:dyDescent="0.25">
      <c r="A20" s="3" t="s">
        <v>15</v>
      </c>
      <c r="B20" s="5">
        <f>-740683</f>
        <v>-740683</v>
      </c>
    </row>
    <row r="21" spans="1:2" x14ac:dyDescent="0.25">
      <c r="A21" s="3" t="s">
        <v>16</v>
      </c>
      <c r="B21" s="5">
        <f>-4600</f>
        <v>-4600</v>
      </c>
    </row>
    <row r="22" spans="1:2" x14ac:dyDescent="0.25">
      <c r="A22" s="3" t="s">
        <v>17</v>
      </c>
      <c r="B22" s="5">
        <f>-2000</f>
        <v>-2000</v>
      </c>
    </row>
    <row r="23" spans="1:2" x14ac:dyDescent="0.25">
      <c r="A23" s="3" t="s">
        <v>18</v>
      </c>
      <c r="B23" s="5">
        <f>-2000</f>
        <v>-2000</v>
      </c>
    </row>
    <row r="24" spans="1:2" x14ac:dyDescent="0.25">
      <c r="A24" s="3" t="s">
        <v>19</v>
      </c>
      <c r="B24" s="6">
        <f>((((((B17)+(B18))+(B19))+(B20))+(B21))+(B22))+(B23)</f>
        <v>-753683</v>
      </c>
    </row>
    <row r="25" spans="1:2" x14ac:dyDescent="0.25">
      <c r="A25" s="3" t="s">
        <v>20</v>
      </c>
      <c r="B25" s="5">
        <f>-11050</f>
        <v>-11050</v>
      </c>
    </row>
    <row r="26" spans="1:2" x14ac:dyDescent="0.25">
      <c r="A26" s="3" t="s">
        <v>21</v>
      </c>
      <c r="B26" s="6">
        <f>(((((B7)+(B8))+(B9))+(B16))+(B24))+(B25)</f>
        <v>-962712</v>
      </c>
    </row>
    <row r="27" spans="1:2" x14ac:dyDescent="0.25">
      <c r="A27" s="3" t="s">
        <v>22</v>
      </c>
      <c r="B27" s="5">
        <f>-12388</f>
        <v>-12388</v>
      </c>
    </row>
    <row r="28" spans="1:2" x14ac:dyDescent="0.25">
      <c r="A28" s="3" t="s">
        <v>23</v>
      </c>
      <c r="B28" s="5">
        <f>-11550</f>
        <v>-11550</v>
      </c>
    </row>
    <row r="29" spans="1:2" x14ac:dyDescent="0.25">
      <c r="A29" s="3" t="s">
        <v>24</v>
      </c>
      <c r="B29" s="4"/>
    </row>
    <row r="30" spans="1:2" x14ac:dyDescent="0.25">
      <c r="A30" s="3" t="s">
        <v>25</v>
      </c>
      <c r="B30" s="5">
        <f>-2200</f>
        <v>-2200</v>
      </c>
    </row>
    <row r="31" spans="1:2" x14ac:dyDescent="0.25">
      <c r="A31" s="3" t="s">
        <v>26</v>
      </c>
      <c r="B31" s="5">
        <f>-1650</f>
        <v>-1650</v>
      </c>
    </row>
    <row r="32" spans="1:2" x14ac:dyDescent="0.25">
      <c r="A32" s="3" t="s">
        <v>27</v>
      </c>
      <c r="B32" s="5">
        <f>-500</f>
        <v>-500</v>
      </c>
    </row>
    <row r="33" spans="1:2" x14ac:dyDescent="0.25">
      <c r="A33" s="3" t="s">
        <v>28</v>
      </c>
      <c r="B33" s="5">
        <f>-600</f>
        <v>-600</v>
      </c>
    </row>
    <row r="34" spans="1:2" x14ac:dyDescent="0.25">
      <c r="A34" s="3" t="s">
        <v>42</v>
      </c>
      <c r="B34" s="5">
        <f>-3000</f>
        <v>-3000</v>
      </c>
    </row>
    <row r="35" spans="1:2" x14ac:dyDescent="0.25">
      <c r="A35" s="3" t="s">
        <v>29</v>
      </c>
      <c r="B35" s="5">
        <f>-7500</f>
        <v>-7500</v>
      </c>
    </row>
    <row r="36" spans="1:2" x14ac:dyDescent="0.25">
      <c r="A36" s="3" t="s">
        <v>30</v>
      </c>
      <c r="B36" s="5">
        <f>-1200</f>
        <v>-1200</v>
      </c>
    </row>
    <row r="37" spans="1:2" x14ac:dyDescent="0.25">
      <c r="A37" s="3" t="s">
        <v>31</v>
      </c>
      <c r="B37" s="5">
        <f>-121211</f>
        <v>-121211</v>
      </c>
    </row>
    <row r="38" spans="1:2" x14ac:dyDescent="0.25">
      <c r="A38" s="3" t="s">
        <v>32</v>
      </c>
      <c r="B38" s="5">
        <f>-2000</f>
        <v>-2000</v>
      </c>
    </row>
    <row r="39" spans="1:2" x14ac:dyDescent="0.25">
      <c r="A39" s="3" t="s">
        <v>33</v>
      </c>
      <c r="B39" s="5">
        <f>-600</f>
        <v>-600</v>
      </c>
    </row>
    <row r="40" spans="1:2" x14ac:dyDescent="0.25">
      <c r="A40" s="3" t="s">
        <v>34</v>
      </c>
      <c r="B40" s="6">
        <f>(((((((((((B29)+(B30))+(B31))+(B32))+(B33))+(B34))+(B35))+(B36))+(B37))+(B38))+(B39))</f>
        <v>-140461</v>
      </c>
    </row>
    <row r="41" spans="1:2" x14ac:dyDescent="0.25">
      <c r="A41" s="3" t="s">
        <v>35</v>
      </c>
      <c r="B41" s="5">
        <f>-9200</f>
        <v>-9200</v>
      </c>
    </row>
    <row r="42" spans="1:2" x14ac:dyDescent="0.25">
      <c r="A42" s="3" t="s">
        <v>36</v>
      </c>
      <c r="B42" s="5">
        <f>-7500</f>
        <v>-7500</v>
      </c>
    </row>
    <row r="43" spans="1:2" x14ac:dyDescent="0.25">
      <c r="A43" s="3" t="s">
        <v>37</v>
      </c>
      <c r="B43" s="5">
        <f>-5300</f>
        <v>-5300</v>
      </c>
    </row>
    <row r="44" spans="1:2" x14ac:dyDescent="0.25">
      <c r="A44" s="3" t="s">
        <v>43</v>
      </c>
      <c r="B44" s="5">
        <f>-20000</f>
        <v>-20000</v>
      </c>
    </row>
    <row r="45" spans="1:2" x14ac:dyDescent="0.25">
      <c r="A45" s="3" t="s">
        <v>41</v>
      </c>
      <c r="B45" s="5">
        <f>1169111</f>
        <v>1169111</v>
      </c>
    </row>
    <row r="46" spans="1:2" x14ac:dyDescent="0.25">
      <c r="A46" s="3" t="s">
        <v>38</v>
      </c>
      <c r="B46" s="6">
        <f>(((((((((B6)+(B26))+(B27))+(B28))+(B40))+(B41))+(B42))+(B43))+(B44))+(B45)</f>
        <v>0</v>
      </c>
    </row>
    <row r="47" spans="1:2" x14ac:dyDescent="0.25">
      <c r="A47" s="3" t="s">
        <v>39</v>
      </c>
      <c r="B47" s="7">
        <f>B46</f>
        <v>0</v>
      </c>
    </row>
    <row r="48" spans="1:2" x14ac:dyDescent="0.25">
      <c r="A48" s="3"/>
      <c r="B48" s="4"/>
    </row>
    <row r="51" spans="1:2" x14ac:dyDescent="0.25">
      <c r="A51" s="8"/>
      <c r="B51" s="9"/>
    </row>
  </sheetData>
  <mergeCells count="4">
    <mergeCell ref="A51:B51"/>
    <mergeCell ref="A1:B1"/>
    <mergeCell ref="A2:B2"/>
    <mergeCell ref="A3:B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A6A6C-A20C-45B8-8226-FCF00C8E6C45}">
  <dimension ref="A1:B142"/>
  <sheetViews>
    <sheetView workbookViewId="0">
      <selection sqref="A1:B1"/>
    </sheetView>
  </sheetViews>
  <sheetFormatPr defaultRowHeight="15" x14ac:dyDescent="0.25"/>
  <cols>
    <col min="1" max="1" width="50.85546875" customWidth="1"/>
    <col min="2" max="2" width="18.7109375" customWidth="1"/>
  </cols>
  <sheetData>
    <row r="1" spans="1:2" ht="18" x14ac:dyDescent="0.25">
      <c r="A1" s="10" t="s">
        <v>40</v>
      </c>
      <c r="B1" s="9"/>
    </row>
    <row r="2" spans="1:2" ht="18" x14ac:dyDescent="0.25">
      <c r="A2" s="10" t="s">
        <v>46</v>
      </c>
      <c r="B2" s="9"/>
    </row>
    <row r="3" spans="1:2" x14ac:dyDescent="0.25">
      <c r="A3" s="11" t="s">
        <v>45</v>
      </c>
      <c r="B3" s="9"/>
    </row>
    <row r="5" spans="1:2" x14ac:dyDescent="0.25">
      <c r="A5" s="1"/>
      <c r="B5" s="1"/>
    </row>
    <row r="6" spans="1:2" x14ac:dyDescent="0.25">
      <c r="A6" s="1"/>
      <c r="B6" s="2" t="s">
        <v>47</v>
      </c>
    </row>
    <row r="7" spans="1:2" x14ac:dyDescent="0.25">
      <c r="A7" s="3" t="s">
        <v>48</v>
      </c>
      <c r="B7" s="4"/>
    </row>
    <row r="8" spans="1:2" x14ac:dyDescent="0.25">
      <c r="A8" s="3" t="s">
        <v>49</v>
      </c>
      <c r="B8" s="5">
        <f>1052111</f>
        <v>1052111</v>
      </c>
    </row>
    <row r="9" spans="1:2" x14ac:dyDescent="0.25">
      <c r="A9" s="3" t="s">
        <v>50</v>
      </c>
      <c r="B9" s="4"/>
    </row>
    <row r="10" spans="1:2" x14ac:dyDescent="0.25">
      <c r="A10" s="3" t="s">
        <v>51</v>
      </c>
      <c r="B10" s="5">
        <f>0</f>
        <v>0</v>
      </c>
    </row>
    <row r="11" spans="1:2" x14ac:dyDescent="0.25">
      <c r="A11" s="3" t="s">
        <v>52</v>
      </c>
      <c r="B11" s="5">
        <f>0</f>
        <v>0</v>
      </c>
    </row>
    <row r="12" spans="1:2" x14ac:dyDescent="0.25">
      <c r="A12" s="3" t="s">
        <v>53</v>
      </c>
      <c r="B12" s="7">
        <f>((B9)+(B10))+(B11)</f>
        <v>0</v>
      </c>
    </row>
    <row r="13" spans="1:2" x14ac:dyDescent="0.25">
      <c r="A13" s="3" t="s">
        <v>54</v>
      </c>
      <c r="B13" s="4"/>
    </row>
    <row r="14" spans="1:2" x14ac:dyDescent="0.25">
      <c r="A14" s="3" t="s">
        <v>55</v>
      </c>
      <c r="B14" s="5">
        <f>80000</f>
        <v>80000</v>
      </c>
    </row>
    <row r="15" spans="1:2" x14ac:dyDescent="0.25">
      <c r="A15" s="3" t="s">
        <v>56</v>
      </c>
      <c r="B15" s="5">
        <f>25000</f>
        <v>25000</v>
      </c>
    </row>
    <row r="16" spans="1:2" x14ac:dyDescent="0.25">
      <c r="A16" s="3" t="s">
        <v>57</v>
      </c>
      <c r="B16" s="7">
        <f>((B13)+(B14))+(B15)</f>
        <v>105000</v>
      </c>
    </row>
    <row r="17" spans="1:2" x14ac:dyDescent="0.25">
      <c r="A17" s="3" t="s">
        <v>58</v>
      </c>
      <c r="B17" s="5">
        <f>400</f>
        <v>400</v>
      </c>
    </row>
    <row r="18" spans="1:2" x14ac:dyDescent="0.25">
      <c r="A18" s="3" t="s">
        <v>59</v>
      </c>
      <c r="B18" s="5">
        <f>0</f>
        <v>0</v>
      </c>
    </row>
    <row r="19" spans="1:2" x14ac:dyDescent="0.25">
      <c r="A19" s="3" t="s">
        <v>60</v>
      </c>
      <c r="B19" s="5">
        <f>0</f>
        <v>0</v>
      </c>
    </row>
    <row r="20" spans="1:2" x14ac:dyDescent="0.25">
      <c r="A20" s="3" t="s">
        <v>61</v>
      </c>
      <c r="B20" s="5">
        <f>11600</f>
        <v>11600</v>
      </c>
    </row>
    <row r="21" spans="1:2" x14ac:dyDescent="0.25">
      <c r="A21" s="3" t="s">
        <v>62</v>
      </c>
      <c r="B21" s="7">
        <f>((((((B8)+(B12))+(B16))+(B17))+(B18))+(B19))+(B20)</f>
        <v>1169111</v>
      </c>
    </row>
    <row r="22" spans="1:2" x14ac:dyDescent="0.25">
      <c r="A22" s="3" t="s">
        <v>63</v>
      </c>
      <c r="B22" s="7">
        <f>(B21)-(0)</f>
        <v>1169111</v>
      </c>
    </row>
    <row r="23" spans="1:2" x14ac:dyDescent="0.25">
      <c r="A23" s="3" t="s">
        <v>64</v>
      </c>
      <c r="B23" s="4"/>
    </row>
    <row r="24" spans="1:2" x14ac:dyDescent="0.25">
      <c r="A24" s="3" t="s">
        <v>65</v>
      </c>
      <c r="B24" s="4"/>
    </row>
    <row r="25" spans="1:2" x14ac:dyDescent="0.25">
      <c r="A25" s="3" t="s">
        <v>66</v>
      </c>
      <c r="B25" s="5">
        <f>26292</f>
        <v>26292</v>
      </c>
    </row>
    <row r="26" spans="1:2" x14ac:dyDescent="0.25">
      <c r="A26" s="3" t="s">
        <v>67</v>
      </c>
      <c r="B26" s="5">
        <f>22400</f>
        <v>22400</v>
      </c>
    </row>
    <row r="27" spans="1:2" x14ac:dyDescent="0.25">
      <c r="A27" s="3" t="s">
        <v>68</v>
      </c>
      <c r="B27" s="5">
        <f>4050</f>
        <v>4050</v>
      </c>
    </row>
    <row r="28" spans="1:2" x14ac:dyDescent="0.25">
      <c r="A28" s="3" t="s">
        <v>69</v>
      </c>
      <c r="B28" s="5">
        <f>3900</f>
        <v>3900</v>
      </c>
    </row>
    <row r="29" spans="1:2" x14ac:dyDescent="0.25">
      <c r="A29" s="3" t="s">
        <v>70</v>
      </c>
      <c r="B29" s="7">
        <f>((((B24)+(B25))+(B26))+(B27))+(B28)</f>
        <v>56642</v>
      </c>
    </row>
    <row r="30" spans="1:2" x14ac:dyDescent="0.25">
      <c r="A30" s="3" t="s">
        <v>71</v>
      </c>
      <c r="B30" s="4"/>
    </row>
    <row r="31" spans="1:2" x14ac:dyDescent="0.25">
      <c r="A31" s="3" t="s">
        <v>72</v>
      </c>
      <c r="B31" s="4"/>
    </row>
    <row r="32" spans="1:2" x14ac:dyDescent="0.25">
      <c r="A32" s="3" t="s">
        <v>73</v>
      </c>
      <c r="B32" s="5">
        <f>20340</f>
        <v>20340</v>
      </c>
    </row>
    <row r="33" spans="1:2" x14ac:dyDescent="0.25">
      <c r="A33" s="3" t="s">
        <v>74</v>
      </c>
      <c r="B33" s="5">
        <f>6850</f>
        <v>6850</v>
      </c>
    </row>
    <row r="34" spans="1:2" x14ac:dyDescent="0.25">
      <c r="A34" s="3" t="s">
        <v>75</v>
      </c>
      <c r="B34" s="7">
        <f>((B31)+(B32))+(B33)</f>
        <v>27190</v>
      </c>
    </row>
    <row r="35" spans="1:2" x14ac:dyDescent="0.25">
      <c r="A35" s="3" t="s">
        <v>76</v>
      </c>
      <c r="B35" s="5">
        <f>3700</f>
        <v>3700</v>
      </c>
    </row>
    <row r="36" spans="1:2" x14ac:dyDescent="0.25">
      <c r="A36" s="3" t="s">
        <v>77</v>
      </c>
      <c r="B36" s="5">
        <f>6500</f>
        <v>6500</v>
      </c>
    </row>
    <row r="37" spans="1:2" x14ac:dyDescent="0.25">
      <c r="A37" s="3" t="s">
        <v>78</v>
      </c>
      <c r="B37" s="5">
        <f>2400</f>
        <v>2400</v>
      </c>
    </row>
    <row r="38" spans="1:2" x14ac:dyDescent="0.25">
      <c r="A38" s="3" t="s">
        <v>79</v>
      </c>
      <c r="B38" s="5">
        <f>193</f>
        <v>193</v>
      </c>
    </row>
    <row r="39" spans="1:2" x14ac:dyDescent="0.25">
      <c r="A39" s="3" t="s">
        <v>80</v>
      </c>
      <c r="B39" s="5">
        <f>23200</f>
        <v>23200</v>
      </c>
    </row>
    <row r="40" spans="1:2" x14ac:dyDescent="0.25">
      <c r="A40" s="3" t="s">
        <v>81</v>
      </c>
      <c r="B40" s="5">
        <f>2200</f>
        <v>2200</v>
      </c>
    </row>
    <row r="41" spans="1:2" x14ac:dyDescent="0.25">
      <c r="A41" s="3" t="s">
        <v>82</v>
      </c>
      <c r="B41" s="5">
        <f>6625</f>
        <v>6625</v>
      </c>
    </row>
    <row r="42" spans="1:2" x14ac:dyDescent="0.25">
      <c r="A42" s="3" t="s">
        <v>83</v>
      </c>
      <c r="B42" s="5">
        <f>22880</f>
        <v>22880</v>
      </c>
    </row>
    <row r="43" spans="1:2" x14ac:dyDescent="0.25">
      <c r="A43" s="3" t="s">
        <v>84</v>
      </c>
      <c r="B43" s="7">
        <f>(((((((((B30)+(B34))+(B35))+(B36))+(B37))+(B38))+(B39))+(B40))+(B41))+(B42)</f>
        <v>94888</v>
      </c>
    </row>
    <row r="44" spans="1:2" x14ac:dyDescent="0.25">
      <c r="A44" s="3" t="s">
        <v>85</v>
      </c>
      <c r="B44" s="5">
        <f>1000</f>
        <v>1000</v>
      </c>
    </row>
    <row r="45" spans="1:2" x14ac:dyDescent="0.25">
      <c r="A45" s="3" t="s">
        <v>86</v>
      </c>
      <c r="B45" s="5">
        <f>1000</f>
        <v>1000</v>
      </c>
    </row>
    <row r="46" spans="1:2" x14ac:dyDescent="0.25">
      <c r="A46" s="3" t="s">
        <v>87</v>
      </c>
      <c r="B46" s="5">
        <f>2400</f>
        <v>2400</v>
      </c>
    </row>
    <row r="47" spans="1:2" x14ac:dyDescent="0.25">
      <c r="A47" s="3" t="s">
        <v>88</v>
      </c>
      <c r="B47" s="5">
        <f>600</f>
        <v>600</v>
      </c>
    </row>
    <row r="48" spans="1:2" x14ac:dyDescent="0.25">
      <c r="A48" s="3" t="s">
        <v>89</v>
      </c>
      <c r="B48" s="5">
        <f>6540</f>
        <v>6540</v>
      </c>
    </row>
    <row r="49" spans="1:2" x14ac:dyDescent="0.25">
      <c r="A49" s="3" t="s">
        <v>90</v>
      </c>
      <c r="B49" s="5">
        <f>700</f>
        <v>700</v>
      </c>
    </row>
    <row r="50" spans="1:2" x14ac:dyDescent="0.25">
      <c r="A50" s="3" t="s">
        <v>91</v>
      </c>
      <c r="B50" s="5">
        <f>2426</f>
        <v>2426</v>
      </c>
    </row>
    <row r="51" spans="1:2" x14ac:dyDescent="0.25">
      <c r="A51" s="3" t="s">
        <v>92</v>
      </c>
      <c r="B51" s="4"/>
    </row>
    <row r="52" spans="1:2" x14ac:dyDescent="0.25">
      <c r="A52" s="3" t="s">
        <v>93</v>
      </c>
      <c r="B52" s="5">
        <f>1000</f>
        <v>1000</v>
      </c>
    </row>
    <row r="53" spans="1:2" x14ac:dyDescent="0.25">
      <c r="A53" s="3" t="s">
        <v>94</v>
      </c>
      <c r="B53" s="5">
        <f>3500</f>
        <v>3500</v>
      </c>
    </row>
    <row r="54" spans="1:2" x14ac:dyDescent="0.25">
      <c r="A54" s="3" t="s">
        <v>95</v>
      </c>
      <c r="B54" s="5">
        <f>6000</f>
        <v>6000</v>
      </c>
    </row>
    <row r="55" spans="1:2" x14ac:dyDescent="0.25">
      <c r="A55" s="3" t="s">
        <v>96</v>
      </c>
      <c r="B55" s="7">
        <f>(((B51)+(B52))+(B53))+(B54)</f>
        <v>10500</v>
      </c>
    </row>
    <row r="56" spans="1:2" x14ac:dyDescent="0.25">
      <c r="A56" s="3" t="s">
        <v>97</v>
      </c>
      <c r="B56" s="5">
        <f>1000</f>
        <v>1000</v>
      </c>
    </row>
    <row r="57" spans="1:2" x14ac:dyDescent="0.25">
      <c r="A57" s="3" t="s">
        <v>98</v>
      </c>
      <c r="B57" s="5">
        <f>3600</f>
        <v>3600</v>
      </c>
    </row>
    <row r="58" spans="1:2" x14ac:dyDescent="0.25">
      <c r="A58" s="3" t="s">
        <v>99</v>
      </c>
      <c r="B58" s="5">
        <f>1150</f>
        <v>1150</v>
      </c>
    </row>
    <row r="59" spans="1:2" x14ac:dyDescent="0.25">
      <c r="A59" s="3" t="s">
        <v>100</v>
      </c>
      <c r="B59" s="5">
        <f>200</f>
        <v>200</v>
      </c>
    </row>
    <row r="60" spans="1:2" x14ac:dyDescent="0.25">
      <c r="A60" s="3" t="s">
        <v>101</v>
      </c>
      <c r="B60" s="4"/>
    </row>
    <row r="61" spans="1:2" x14ac:dyDescent="0.25">
      <c r="A61" s="3" t="s">
        <v>102</v>
      </c>
      <c r="B61" s="5">
        <f>52</f>
        <v>52</v>
      </c>
    </row>
    <row r="62" spans="1:2" x14ac:dyDescent="0.25">
      <c r="A62" s="3" t="s">
        <v>103</v>
      </c>
      <c r="B62" s="5">
        <f>1800</f>
        <v>1800</v>
      </c>
    </row>
    <row r="63" spans="1:2" x14ac:dyDescent="0.25">
      <c r="A63" s="3" t="s">
        <v>104</v>
      </c>
      <c r="B63" s="5">
        <f>1932</f>
        <v>1932</v>
      </c>
    </row>
    <row r="64" spans="1:2" x14ac:dyDescent="0.25">
      <c r="A64" s="3" t="s">
        <v>105</v>
      </c>
      <c r="B64" s="5">
        <f>199</f>
        <v>199</v>
      </c>
    </row>
    <row r="65" spans="1:2" x14ac:dyDescent="0.25">
      <c r="A65" s="3" t="s">
        <v>106</v>
      </c>
      <c r="B65" s="5">
        <f>9600</f>
        <v>9600</v>
      </c>
    </row>
    <row r="66" spans="1:2" x14ac:dyDescent="0.25">
      <c r="A66" s="3" t="s">
        <v>107</v>
      </c>
      <c r="B66" s="7">
        <f>(((((B60)+(B61))+(B62))+(B63))+(B64))+(B65)</f>
        <v>13583</v>
      </c>
    </row>
    <row r="67" spans="1:2" x14ac:dyDescent="0.25">
      <c r="A67" s="3" t="s">
        <v>108</v>
      </c>
      <c r="B67" s="4"/>
    </row>
    <row r="68" spans="1:2" x14ac:dyDescent="0.25">
      <c r="A68" s="3" t="s">
        <v>109</v>
      </c>
      <c r="B68" s="5">
        <f>446321</f>
        <v>446321</v>
      </c>
    </row>
    <row r="69" spans="1:2" x14ac:dyDescent="0.25">
      <c r="A69" s="3" t="s">
        <v>110</v>
      </c>
      <c r="B69" s="5">
        <f>29028</f>
        <v>29028</v>
      </c>
    </row>
    <row r="70" spans="1:2" x14ac:dyDescent="0.25">
      <c r="A70" s="3" t="s">
        <v>111</v>
      </c>
      <c r="B70" s="5">
        <f>121000</f>
        <v>121000</v>
      </c>
    </row>
    <row r="71" spans="1:2" x14ac:dyDescent="0.25">
      <c r="A71" s="3" t="s">
        <v>112</v>
      </c>
      <c r="B71" s="5">
        <f>3677</f>
        <v>3677</v>
      </c>
    </row>
    <row r="72" spans="1:2" x14ac:dyDescent="0.25">
      <c r="A72" s="3" t="s">
        <v>113</v>
      </c>
      <c r="B72" s="7">
        <f>((((B67)+(B68))+(B69))+(B70))+(B71)</f>
        <v>600026</v>
      </c>
    </row>
    <row r="73" spans="1:2" x14ac:dyDescent="0.25">
      <c r="A73" s="3" t="s">
        <v>114</v>
      </c>
      <c r="B73" s="5">
        <f>1000</f>
        <v>1000</v>
      </c>
    </row>
    <row r="74" spans="1:2" x14ac:dyDescent="0.25">
      <c r="A74" s="3" t="s">
        <v>115</v>
      </c>
      <c r="B74" s="5">
        <f>3000</f>
        <v>3000</v>
      </c>
    </row>
    <row r="75" spans="1:2" x14ac:dyDescent="0.25">
      <c r="A75" s="3" t="s">
        <v>116</v>
      </c>
      <c r="B75" s="5">
        <f>5000</f>
        <v>5000</v>
      </c>
    </row>
    <row r="76" spans="1:2" x14ac:dyDescent="0.25">
      <c r="A76" s="3" t="s">
        <v>117</v>
      </c>
      <c r="B76" s="5">
        <f>8000</f>
        <v>8000</v>
      </c>
    </row>
    <row r="77" spans="1:2" x14ac:dyDescent="0.25">
      <c r="A77" s="3" t="s">
        <v>118</v>
      </c>
      <c r="B77" s="5">
        <f>3550</f>
        <v>3550</v>
      </c>
    </row>
    <row r="78" spans="1:2" x14ac:dyDescent="0.25">
      <c r="A78" s="3" t="s">
        <v>119</v>
      </c>
      <c r="B78" s="4"/>
    </row>
    <row r="79" spans="1:2" x14ac:dyDescent="0.25">
      <c r="A79" s="3" t="s">
        <v>120</v>
      </c>
      <c r="B79" s="5">
        <f>93517</f>
        <v>93517</v>
      </c>
    </row>
    <row r="80" spans="1:2" x14ac:dyDescent="0.25">
      <c r="A80" s="3" t="s">
        <v>121</v>
      </c>
      <c r="B80" s="5">
        <f>43384</f>
        <v>43384</v>
      </c>
    </row>
    <row r="81" spans="1:2" x14ac:dyDescent="0.25">
      <c r="A81" s="3" t="s">
        <v>122</v>
      </c>
      <c r="B81" s="5">
        <f>1656</f>
        <v>1656</v>
      </c>
    </row>
    <row r="82" spans="1:2" x14ac:dyDescent="0.25">
      <c r="A82" s="3" t="s">
        <v>123</v>
      </c>
      <c r="B82" s="5">
        <f>1100</f>
        <v>1100</v>
      </c>
    </row>
    <row r="83" spans="1:2" x14ac:dyDescent="0.25">
      <c r="A83" s="3" t="s">
        <v>124</v>
      </c>
      <c r="B83" s="7">
        <f>((((B78)+(B79))+(B80))+(B81))+(B82)</f>
        <v>139657</v>
      </c>
    </row>
    <row r="84" spans="1:2" x14ac:dyDescent="0.25">
      <c r="A84" s="3" t="s">
        <v>125</v>
      </c>
      <c r="B84" s="4"/>
    </row>
    <row r="85" spans="1:2" x14ac:dyDescent="0.25">
      <c r="A85" s="3" t="s">
        <v>126</v>
      </c>
      <c r="B85" s="5">
        <f>1100</f>
        <v>1100</v>
      </c>
    </row>
    <row r="86" spans="1:2" x14ac:dyDescent="0.25">
      <c r="A86" s="3" t="s">
        <v>127</v>
      </c>
      <c r="B86" s="5">
        <f>840</f>
        <v>840</v>
      </c>
    </row>
    <row r="87" spans="1:2" x14ac:dyDescent="0.25">
      <c r="A87" s="3" t="s">
        <v>128</v>
      </c>
      <c r="B87" s="5">
        <f>1148</f>
        <v>1148</v>
      </c>
    </row>
    <row r="88" spans="1:2" x14ac:dyDescent="0.25">
      <c r="A88" s="3" t="s">
        <v>129</v>
      </c>
      <c r="B88" s="5">
        <f>1800</f>
        <v>1800</v>
      </c>
    </row>
    <row r="89" spans="1:2" x14ac:dyDescent="0.25">
      <c r="A89" s="3" t="s">
        <v>130</v>
      </c>
      <c r="B89" s="5">
        <f>3600</f>
        <v>3600</v>
      </c>
    </row>
    <row r="90" spans="1:2" x14ac:dyDescent="0.25">
      <c r="A90" s="3" t="s">
        <v>131</v>
      </c>
      <c r="B90" s="5">
        <f>1800</f>
        <v>1800</v>
      </c>
    </row>
    <row r="91" spans="1:2" x14ac:dyDescent="0.25">
      <c r="A91" s="3" t="s">
        <v>132</v>
      </c>
      <c r="B91" s="5">
        <f>200</f>
        <v>200</v>
      </c>
    </row>
    <row r="92" spans="1:2" x14ac:dyDescent="0.25">
      <c r="A92" s="3" t="s">
        <v>133</v>
      </c>
      <c r="B92" s="5">
        <f>900</f>
        <v>900</v>
      </c>
    </row>
    <row r="93" spans="1:2" x14ac:dyDescent="0.25">
      <c r="A93" s="3" t="s">
        <v>134</v>
      </c>
      <c r="B93" s="5">
        <f>1000</f>
        <v>1000</v>
      </c>
    </row>
    <row r="94" spans="1:2" x14ac:dyDescent="0.25">
      <c r="A94" s="3" t="s">
        <v>135</v>
      </c>
      <c r="B94" s="5">
        <f>1200</f>
        <v>1200</v>
      </c>
    </row>
    <row r="95" spans="1:2" x14ac:dyDescent="0.25">
      <c r="A95" s="3" t="s">
        <v>136</v>
      </c>
      <c r="B95" s="5">
        <f>600</f>
        <v>600</v>
      </c>
    </row>
    <row r="96" spans="1:2" x14ac:dyDescent="0.25">
      <c r="A96" s="3" t="s">
        <v>137</v>
      </c>
      <c r="B96" s="5">
        <f>2400</f>
        <v>2400</v>
      </c>
    </row>
    <row r="97" spans="1:2" x14ac:dyDescent="0.25">
      <c r="A97" s="3" t="s">
        <v>138</v>
      </c>
      <c r="B97" s="5">
        <f>3300</f>
        <v>3300</v>
      </c>
    </row>
    <row r="98" spans="1:2" x14ac:dyDescent="0.25">
      <c r="A98" s="3" t="s">
        <v>139</v>
      </c>
      <c r="B98" s="5">
        <f>100</f>
        <v>100</v>
      </c>
    </row>
    <row r="99" spans="1:2" x14ac:dyDescent="0.25">
      <c r="A99" s="3" t="s">
        <v>140</v>
      </c>
      <c r="B99" s="5">
        <f>1400</f>
        <v>1400</v>
      </c>
    </row>
    <row r="100" spans="1:2" x14ac:dyDescent="0.25">
      <c r="A100" s="3" t="s">
        <v>141</v>
      </c>
      <c r="B100" s="5">
        <f>480</f>
        <v>480</v>
      </c>
    </row>
    <row r="101" spans="1:2" x14ac:dyDescent="0.25">
      <c r="A101" s="3" t="s">
        <v>142</v>
      </c>
      <c r="B101" s="5">
        <f>800</f>
        <v>800</v>
      </c>
    </row>
    <row r="102" spans="1:2" x14ac:dyDescent="0.25">
      <c r="A102" s="3" t="s">
        <v>143</v>
      </c>
      <c r="B102" s="5">
        <f>180</f>
        <v>180</v>
      </c>
    </row>
    <row r="103" spans="1:2" x14ac:dyDescent="0.25">
      <c r="A103" s="3" t="s">
        <v>144</v>
      </c>
      <c r="B103" s="5">
        <f>1230</f>
        <v>1230</v>
      </c>
    </row>
    <row r="104" spans="1:2" x14ac:dyDescent="0.25">
      <c r="A104" s="3" t="s">
        <v>145</v>
      </c>
      <c r="B104" s="5">
        <f>360</f>
        <v>360</v>
      </c>
    </row>
    <row r="105" spans="1:2" x14ac:dyDescent="0.25">
      <c r="A105" s="3" t="s">
        <v>146</v>
      </c>
      <c r="B105" s="5">
        <f>7000</f>
        <v>7000</v>
      </c>
    </row>
    <row r="106" spans="1:2" x14ac:dyDescent="0.25">
      <c r="A106" s="3" t="s">
        <v>147</v>
      </c>
      <c r="B106" s="5">
        <f>900</f>
        <v>900</v>
      </c>
    </row>
    <row r="107" spans="1:2" x14ac:dyDescent="0.25">
      <c r="A107" s="3" t="s">
        <v>148</v>
      </c>
      <c r="B107" s="5">
        <f>86500</f>
        <v>86500</v>
      </c>
    </row>
    <row r="108" spans="1:2" x14ac:dyDescent="0.25">
      <c r="A108" s="3" t="s">
        <v>149</v>
      </c>
      <c r="B108" s="5">
        <f>1500</f>
        <v>1500</v>
      </c>
    </row>
    <row r="109" spans="1:2" x14ac:dyDescent="0.25">
      <c r="A109" s="3" t="s">
        <v>150</v>
      </c>
      <c r="B109" s="5">
        <f>19250</f>
        <v>19250</v>
      </c>
    </row>
    <row r="110" spans="1:2" x14ac:dyDescent="0.25">
      <c r="A110" s="3" t="s">
        <v>151</v>
      </c>
      <c r="B110" s="5">
        <f>2000</f>
        <v>2000</v>
      </c>
    </row>
    <row r="111" spans="1:2" x14ac:dyDescent="0.25">
      <c r="A111" s="3" t="s">
        <v>152</v>
      </c>
      <c r="B111" s="5">
        <f>500</f>
        <v>500</v>
      </c>
    </row>
    <row r="112" spans="1:2" x14ac:dyDescent="0.25">
      <c r="A112" s="3" t="s">
        <v>153</v>
      </c>
      <c r="B112" s="5">
        <f>8000</f>
        <v>8000</v>
      </c>
    </row>
    <row r="113" spans="1:2" x14ac:dyDescent="0.25">
      <c r="A113" s="3" t="s">
        <v>154</v>
      </c>
      <c r="B113" s="5">
        <f>18711</f>
        <v>18711</v>
      </c>
    </row>
    <row r="114" spans="1:2" x14ac:dyDescent="0.25">
      <c r="A114" s="3" t="s">
        <v>155</v>
      </c>
      <c r="B114" s="5">
        <f>1600</f>
        <v>1600</v>
      </c>
    </row>
    <row r="115" spans="1:2" x14ac:dyDescent="0.25">
      <c r="A115" s="3" t="s">
        <v>156</v>
      </c>
      <c r="B115" s="5">
        <f>300</f>
        <v>300</v>
      </c>
    </row>
    <row r="116" spans="1:2" x14ac:dyDescent="0.25">
      <c r="A116" s="3" t="s">
        <v>157</v>
      </c>
      <c r="B116" s="5">
        <f>900</f>
        <v>900</v>
      </c>
    </row>
    <row r="117" spans="1:2" x14ac:dyDescent="0.25">
      <c r="A117" s="3" t="s">
        <v>158</v>
      </c>
      <c r="B117" s="5">
        <f>1000</f>
        <v>1000</v>
      </c>
    </row>
    <row r="118" spans="1:2" x14ac:dyDescent="0.25">
      <c r="A118" s="3" t="s">
        <v>159</v>
      </c>
      <c r="B118" s="5">
        <f>750</f>
        <v>750</v>
      </c>
    </row>
    <row r="119" spans="1:2" x14ac:dyDescent="0.25">
      <c r="A119" s="3" t="s">
        <v>160</v>
      </c>
      <c r="B119" s="5">
        <f>1000</f>
        <v>1000</v>
      </c>
    </row>
    <row r="120" spans="1:2" x14ac:dyDescent="0.25">
      <c r="A120" s="3" t="s">
        <v>161</v>
      </c>
      <c r="B120" s="5">
        <f>4000</f>
        <v>4000</v>
      </c>
    </row>
    <row r="121" spans="1:2" x14ac:dyDescent="0.25">
      <c r="A121" s="3" t="s">
        <v>162</v>
      </c>
      <c r="B121" s="5">
        <f>2400</f>
        <v>2400</v>
      </c>
    </row>
    <row r="122" spans="1:2" x14ac:dyDescent="0.25">
      <c r="A122" s="3" t="s">
        <v>163</v>
      </c>
      <c r="B122" s="5">
        <f>1400</f>
        <v>1400</v>
      </c>
    </row>
    <row r="123" spans="1:2" x14ac:dyDescent="0.25">
      <c r="A123" s="3" t="s">
        <v>164</v>
      </c>
      <c r="B123" s="5">
        <f>500</f>
        <v>500</v>
      </c>
    </row>
    <row r="124" spans="1:2" x14ac:dyDescent="0.25">
      <c r="A124" s="3" t="s">
        <v>165</v>
      </c>
      <c r="B124" s="5">
        <f>800</f>
        <v>800</v>
      </c>
    </row>
    <row r="125" spans="1:2" x14ac:dyDescent="0.25">
      <c r="A125" s="3" t="s">
        <v>166</v>
      </c>
      <c r="B125" s="5">
        <f>200</f>
        <v>200</v>
      </c>
    </row>
    <row r="126" spans="1:2" x14ac:dyDescent="0.25">
      <c r="A126" s="3" t="s">
        <v>167</v>
      </c>
      <c r="B126" s="5">
        <f>500</f>
        <v>500</v>
      </c>
    </row>
    <row r="127" spans="1:2" x14ac:dyDescent="0.25">
      <c r="A127" s="3" t="s">
        <v>168</v>
      </c>
      <c r="B127" s="7">
        <f>((((((((((((((((((((((((((((((((((((((((((B84)+(B85))+(B86))+(B87))+(B88))+(B89))+(B90))+(B91))+(B92))+(B93))+(B94))+(B95))+(B96))+(B97))+(B98))+(B99))+(B100))+(B101))+(B102))+(B103))+(B104))+(B105))+(B106))+(B107))+(B108))+(B109))+(B110))+(B111))+(B112))+(B113))+(B114))+(B115))+(B116))+(B117))+(B118))+(B119))+(B120))+(B121))+(B122))+(B123))+(B124))+(B125))+(B126)</f>
        <v>184149</v>
      </c>
    </row>
    <row r="128" spans="1:2" x14ac:dyDescent="0.25">
      <c r="A128" s="3" t="s">
        <v>169</v>
      </c>
      <c r="B128" s="5">
        <f>4500</f>
        <v>4500</v>
      </c>
    </row>
    <row r="129" spans="1:2" x14ac:dyDescent="0.25">
      <c r="A129" s="3" t="s">
        <v>170</v>
      </c>
      <c r="B129" s="5">
        <f>4000</f>
        <v>4000</v>
      </c>
    </row>
    <row r="130" spans="1:2" x14ac:dyDescent="0.25">
      <c r="A130" s="3" t="s">
        <v>171</v>
      </c>
      <c r="B130" s="5">
        <f>20000</f>
        <v>20000</v>
      </c>
    </row>
    <row r="131" spans="1:2" x14ac:dyDescent="0.25">
      <c r="A131" s="3" t="s">
        <v>172</v>
      </c>
      <c r="B131" s="7">
        <f>(((((((((((((((((((((((((B29)+(B43))+(B44))+(B45))+(B46))+(B47))+(B48))+(B49))+(B50))+(B55))+(B56))+(B57))+(B58))+(B59))+(B66))+(B72))+(B73))+(B74))+(B75))+(B76))+(B77))+(B83))+(B127))+(B128))+(B129))+(B130)</f>
        <v>1169111</v>
      </c>
    </row>
    <row r="132" spans="1:2" x14ac:dyDescent="0.25">
      <c r="A132" s="3" t="s">
        <v>173</v>
      </c>
      <c r="B132" s="7">
        <f>(B22)-(B131)</f>
        <v>0</v>
      </c>
    </row>
    <row r="133" spans="1:2" x14ac:dyDescent="0.25">
      <c r="A133" s="3" t="s">
        <v>174</v>
      </c>
      <c r="B133" s="7">
        <f>(B132)+(0)</f>
        <v>0</v>
      </c>
    </row>
    <row r="139" spans="1:2" x14ac:dyDescent="0.25">
      <c r="A139" s="3"/>
      <c r="B139" s="12"/>
    </row>
    <row r="142" spans="1:2" x14ac:dyDescent="0.25">
      <c r="A142" s="8"/>
      <c r="B142" s="9"/>
    </row>
  </sheetData>
  <mergeCells count="4">
    <mergeCell ref="A1:B1"/>
    <mergeCell ref="A2:B2"/>
    <mergeCell ref="A3:B3"/>
    <mergeCell ref="A142:B1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2026 Budget Proposals</vt:lpstr>
      <vt:lpstr>2026 by Budget Area</vt:lpstr>
      <vt:lpstr>2026 by Account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NSCBC Bookkeeper</cp:lastModifiedBy>
  <dcterms:created xsi:type="dcterms:W3CDTF">2024-11-25T20:23:04Z</dcterms:created>
  <dcterms:modified xsi:type="dcterms:W3CDTF">2025-12-10T18:08:41Z</dcterms:modified>
</cp:coreProperties>
</file>