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cbc-my.sharepoint.com/personal/bookkeeper_nscbc_org/Documents/Desktop/Excel Financials/"/>
    </mc:Choice>
  </mc:AlternateContent>
  <xr:revisionPtr revIDLastSave="91" documentId="8_{91E2BA56-A963-4935-A843-E07F8F6FB7E2}" xr6:coauthVersionLast="47" xr6:coauthVersionMax="47" xr10:uidLastSave="{890BA63B-6776-4107-979D-6E6911D78E49}"/>
  <bookViews>
    <workbookView xWindow="-27705" yWindow="615" windowWidth="27705" windowHeight="14865" xr2:uid="{00000000-000D-0000-FFFF-FFFF00000000}"/>
  </bookViews>
  <sheets>
    <sheet name="Children" sheetId="1" r:id="rId1"/>
    <sheet name="Church Business" sheetId="2" r:id="rId2"/>
    <sheet name="Deacons" sheetId="3" r:id="rId3"/>
    <sheet name="Discipleship" sheetId="4" r:id="rId4"/>
    <sheet name="Elders" sheetId="5" r:id="rId5"/>
    <sheet name="Facilities" sheetId="6" r:id="rId6"/>
    <sheet name="Finance" sheetId="7" r:id="rId7"/>
    <sheet name="Outreach" sheetId="8" r:id="rId8"/>
    <sheet name="Personnel" sheetId="9" r:id="rId9"/>
    <sheet name="Worship" sheetId="10" r:id="rId10"/>
    <sheet name="Youth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1" l="1"/>
  <c r="C8" i="11"/>
  <c r="C7" i="11"/>
  <c r="C6" i="11"/>
  <c r="B9" i="11"/>
  <c r="B8" i="11"/>
  <c r="B7" i="11"/>
  <c r="B6" i="11"/>
  <c r="B10" i="11" s="1"/>
  <c r="B11" i="11" s="1"/>
  <c r="C14" i="10"/>
  <c r="C13" i="10"/>
  <c r="C12" i="10"/>
  <c r="C11" i="10"/>
  <c r="C10" i="10"/>
  <c r="C9" i="10"/>
  <c r="C8" i="10"/>
  <c r="C7" i="10"/>
  <c r="C6" i="10"/>
  <c r="C17" i="10" s="1"/>
  <c r="B17" i="10"/>
  <c r="B15" i="10"/>
  <c r="B14" i="10"/>
  <c r="B13" i="10"/>
  <c r="B12" i="10"/>
  <c r="B11" i="10"/>
  <c r="B10" i="10"/>
  <c r="B9" i="10"/>
  <c r="B8" i="10"/>
  <c r="B7" i="10"/>
  <c r="B6" i="10"/>
  <c r="C18" i="9"/>
  <c r="C17" i="9"/>
  <c r="C16" i="9"/>
  <c r="C15" i="9"/>
  <c r="C13" i="9"/>
  <c r="C12" i="9"/>
  <c r="C11" i="9"/>
  <c r="C9" i="9"/>
  <c r="C8" i="9"/>
  <c r="C7" i="9"/>
  <c r="C6" i="9"/>
  <c r="B18" i="9"/>
  <c r="B17" i="9"/>
  <c r="B16" i="9"/>
  <c r="B13" i="9"/>
  <c r="B12" i="9"/>
  <c r="B11" i="9"/>
  <c r="B9" i="9"/>
  <c r="B8" i="9"/>
  <c r="B7" i="9"/>
  <c r="B6" i="9"/>
  <c r="C13" i="8"/>
  <c r="C12" i="8"/>
  <c r="C11" i="8"/>
  <c r="C10" i="8"/>
  <c r="C9" i="8"/>
  <c r="C8" i="8"/>
  <c r="C7" i="8"/>
  <c r="C6" i="8"/>
  <c r="B11" i="8"/>
  <c r="B10" i="8"/>
  <c r="B9" i="8"/>
  <c r="B8" i="8"/>
  <c r="B7" i="8"/>
  <c r="B6" i="8"/>
  <c r="C13" i="7"/>
  <c r="C12" i="7"/>
  <c r="C11" i="7"/>
  <c r="C10" i="7"/>
  <c r="C9" i="7"/>
  <c r="C6" i="7"/>
  <c r="B20" i="7"/>
  <c r="B15" i="7"/>
  <c r="B13" i="7"/>
  <c r="B12" i="7"/>
  <c r="B11" i="7"/>
  <c r="B10" i="7"/>
  <c r="B9" i="7"/>
  <c r="B6" i="7"/>
  <c r="C22" i="6"/>
  <c r="C21" i="6"/>
  <c r="C20" i="6"/>
  <c r="C19" i="6"/>
  <c r="C18" i="6"/>
  <c r="C17" i="6"/>
  <c r="C16" i="6"/>
  <c r="C14" i="6"/>
  <c r="C13" i="6"/>
  <c r="C9" i="6"/>
  <c r="C8" i="6"/>
  <c r="C7" i="6"/>
  <c r="C6" i="6"/>
  <c r="B14" i="6"/>
  <c r="B13" i="6"/>
  <c r="B9" i="6"/>
  <c r="B8" i="6"/>
  <c r="B7" i="6"/>
  <c r="B6" i="6"/>
  <c r="C7" i="5"/>
  <c r="C6" i="5"/>
  <c r="C5" i="5"/>
  <c r="B7" i="5"/>
  <c r="B6" i="5"/>
  <c r="B5" i="5"/>
  <c r="C13" i="4"/>
  <c r="C12" i="4"/>
  <c r="C11" i="4"/>
  <c r="C10" i="4"/>
  <c r="C9" i="4"/>
  <c r="C8" i="4"/>
  <c r="C7" i="4"/>
  <c r="C6" i="4"/>
  <c r="B13" i="4"/>
  <c r="B12" i="4"/>
  <c r="B11" i="4"/>
  <c r="B10" i="4"/>
  <c r="B9" i="4"/>
  <c r="B8" i="4"/>
  <c r="B7" i="4"/>
  <c r="B6" i="4"/>
  <c r="C10" i="3"/>
  <c r="C9" i="3"/>
  <c r="C8" i="3"/>
  <c r="C7" i="3"/>
  <c r="C6" i="3"/>
  <c r="B10" i="3"/>
  <c r="B9" i="3"/>
  <c r="B8" i="3"/>
  <c r="B7" i="3"/>
  <c r="B6" i="3"/>
  <c r="C23" i="2"/>
  <c r="C22" i="2"/>
  <c r="C20" i="2"/>
  <c r="C19" i="2"/>
  <c r="C18" i="2"/>
  <c r="C17" i="2"/>
  <c r="C15" i="2"/>
  <c r="C14" i="2"/>
  <c r="C13" i="2"/>
  <c r="C11" i="2"/>
  <c r="C10" i="2"/>
  <c r="C9" i="2"/>
  <c r="C8" i="2"/>
  <c r="C7" i="2"/>
  <c r="C6" i="2"/>
  <c r="C5" i="2"/>
  <c r="B23" i="2"/>
  <c r="B22" i="2"/>
  <c r="B20" i="2"/>
  <c r="B19" i="2"/>
  <c r="B18" i="2"/>
  <c r="B17" i="2"/>
  <c r="B15" i="2"/>
  <c r="B14" i="2"/>
  <c r="B13" i="2"/>
  <c r="B11" i="2"/>
  <c r="B10" i="2"/>
  <c r="B9" i="2"/>
  <c r="B8" i="2"/>
  <c r="B7" i="2"/>
  <c r="B6" i="2"/>
  <c r="B5" i="2"/>
  <c r="C7" i="1"/>
  <c r="C6" i="1"/>
  <c r="C13" i="1"/>
  <c r="C12" i="1"/>
  <c r="C11" i="1"/>
  <c r="C10" i="1"/>
  <c r="C9" i="1"/>
  <c r="B13" i="1"/>
  <c r="B12" i="1"/>
  <c r="B11" i="1"/>
  <c r="B10" i="1"/>
  <c r="B9" i="1"/>
  <c r="B8" i="1"/>
  <c r="B7" i="1"/>
  <c r="B6" i="1"/>
  <c r="C15" i="4" l="1"/>
  <c r="C16" i="4" s="1"/>
  <c r="B15" i="4"/>
  <c r="B16" i="4" s="1"/>
  <c r="C10" i="11"/>
  <c r="C11" i="11" s="1"/>
  <c r="B18" i="10" l="1"/>
  <c r="C18" i="10"/>
  <c r="C19" i="9"/>
  <c r="B19" i="9"/>
  <c r="B10" i="9" l="1"/>
  <c r="B20" i="9" s="1"/>
  <c r="C10" i="9"/>
  <c r="C20" i="9"/>
  <c r="B13" i="8" l="1"/>
  <c r="B15" i="8" s="1"/>
  <c r="C15" i="8"/>
  <c r="C21" i="7"/>
  <c r="C22" i="7" s="1"/>
  <c r="B21" i="7"/>
  <c r="B22" i="7" s="1"/>
  <c r="C7" i="7"/>
  <c r="B7" i="7"/>
  <c r="C14" i="7" l="1"/>
  <c r="C16" i="7" s="1"/>
  <c r="C23" i="7" s="1"/>
  <c r="B14" i="7"/>
  <c r="B16" i="7" s="1"/>
  <c r="B23" i="7" s="1"/>
  <c r="B22" i="6"/>
  <c r="B21" i="6"/>
  <c r="B20" i="6"/>
  <c r="B19" i="6"/>
  <c r="B18" i="6"/>
  <c r="B17" i="6"/>
  <c r="B16" i="6"/>
  <c r="C15" i="6"/>
  <c r="C23" i="6" s="1"/>
  <c r="B15" i="6"/>
  <c r="B23" i="6" s="1"/>
  <c r="C10" i="6"/>
  <c r="B10" i="6"/>
  <c r="B8" i="5"/>
  <c r="C8" i="5" l="1"/>
  <c r="B24" i="6"/>
  <c r="C24" i="6"/>
  <c r="C11" i="3" l="1"/>
  <c r="C12" i="3" s="1"/>
  <c r="B11" i="3" l="1"/>
  <c r="B12" i="3" s="1"/>
  <c r="B24" i="2"/>
  <c r="B16" i="2" l="1"/>
  <c r="C16" i="2"/>
  <c r="C24" i="2"/>
  <c r="B25" i="2"/>
  <c r="C8" i="1"/>
  <c r="C25" i="2" l="1"/>
  <c r="B14" i="1"/>
  <c r="C14" i="1"/>
</calcChain>
</file>

<file path=xl/sharedStrings.xml><?xml version="1.0" encoding="utf-8"?>
<sst xmlns="http://schemas.openxmlformats.org/spreadsheetml/2006/main" count="164" uniqueCount="131">
  <si>
    <t>Expenses</t>
  </si>
  <si>
    <t xml:space="preserve">   6600 Ministry Area Expenses</t>
  </si>
  <si>
    <t xml:space="preserve">      6601 Ministry General Supplies</t>
  </si>
  <si>
    <t xml:space="preserve">      6632 Children's Worship</t>
  </si>
  <si>
    <t xml:space="preserve">      6634 Midweek</t>
  </si>
  <si>
    <t xml:space="preserve">      6635 Nursery</t>
  </si>
  <si>
    <t xml:space="preserve">      6636 Sunday School</t>
  </si>
  <si>
    <t xml:space="preserve">      6637 Toddlers</t>
  </si>
  <si>
    <t xml:space="preserve">      6638 Vacation Bible School</t>
  </si>
  <si>
    <t xml:space="preserve">      6639 Volunteer Development</t>
  </si>
  <si>
    <t xml:space="preserve">   Total 6600 Ministry Area Expenses</t>
  </si>
  <si>
    <t>Total Expenses</t>
  </si>
  <si>
    <t>Children's Ministry Budget Overview</t>
  </si>
  <si>
    <t>Church Business Budget Overview</t>
  </si>
  <si>
    <t xml:space="preserve">   6310 Office Supplies</t>
  </si>
  <si>
    <t xml:space="preserve">   6311 Paper Supplies</t>
  </si>
  <si>
    <t xml:space="preserve">   6312 Off-site Printing</t>
  </si>
  <si>
    <t xml:space="preserve">   6320 Postage &amp; Delivery</t>
  </si>
  <si>
    <t xml:space="preserve">   6330 Telephone &amp; Internet</t>
  </si>
  <si>
    <t xml:space="preserve">   6335 General Audio/Visual</t>
  </si>
  <si>
    <t xml:space="preserve">   6340 Printing Equip &amp; Maintenance</t>
  </si>
  <si>
    <t xml:space="preserve">   6350 Information Technology</t>
  </si>
  <si>
    <t xml:space="preserve">      6351 IT Support</t>
  </si>
  <si>
    <t xml:space="preserve">      6352 Computer Replacement</t>
  </si>
  <si>
    <t xml:space="preserve">      6353 Fees and Programs</t>
  </si>
  <si>
    <t xml:space="preserve">   Total 6350 Information Technology</t>
  </si>
  <si>
    <t xml:space="preserve">   6360 Promotions</t>
  </si>
  <si>
    <t xml:space="preserve">   6370 Leadership Development</t>
  </si>
  <si>
    <t xml:space="preserve">   6371 Background Checks</t>
  </si>
  <si>
    <t xml:space="preserve">   6372 Vendor Memberships</t>
  </si>
  <si>
    <t xml:space="preserve">      6655 Hospitality</t>
  </si>
  <si>
    <t xml:space="preserve">      6656 Staff Receptions</t>
  </si>
  <si>
    <t>Deacons at Large Budget Overview</t>
  </si>
  <si>
    <t xml:space="preserve">      6650 Sunday Fellowship</t>
  </si>
  <si>
    <t xml:space="preserve">      6651 Receptions</t>
  </si>
  <si>
    <t xml:space="preserve">      6652 Visitation/Encouragement</t>
  </si>
  <si>
    <t xml:space="preserve">      6657 Deacons Fellowship Events</t>
  </si>
  <si>
    <t xml:space="preserve">      6658 General Fellowship</t>
  </si>
  <si>
    <t>Discipleship Budget Overview</t>
  </si>
  <si>
    <t xml:space="preserve">      6630 Christian Formation</t>
  </si>
  <si>
    <t xml:space="preserve">      6633 Library</t>
  </si>
  <si>
    <t xml:space="preserve">      6654 Connect Ministries</t>
  </si>
  <si>
    <t xml:space="preserve">      6660 College Ministry Expense</t>
  </si>
  <si>
    <t xml:space="preserve">      6670 Small Groups</t>
  </si>
  <si>
    <t xml:space="preserve">      6673 Mentored Ministry</t>
  </si>
  <si>
    <t>Elders Budget Overview</t>
  </si>
  <si>
    <t xml:space="preserve">   6455 Guest Preachers</t>
  </si>
  <si>
    <t xml:space="preserve">   6480 Miscellaneous</t>
  </si>
  <si>
    <t xml:space="preserve">   6700 Converge NE Admin Support</t>
  </si>
  <si>
    <t>Facilities Budget Overview</t>
  </si>
  <si>
    <t xml:space="preserve">   6000 Facilities-Utilities</t>
  </si>
  <si>
    <t xml:space="preserve">      6001 Electricity</t>
  </si>
  <si>
    <t xml:space="preserve">      6010 Gas</t>
  </si>
  <si>
    <t xml:space="preserve">      6020 Water &amp; Sewer</t>
  </si>
  <si>
    <t xml:space="preserve">      6030 Trash</t>
  </si>
  <si>
    <t xml:space="preserve">   Total 6000 Facilities-Utilities</t>
  </si>
  <si>
    <t xml:space="preserve">   6100 Facilities-Other</t>
  </si>
  <si>
    <t xml:space="preserve">      6110 Building Repairs &amp; Maintenance</t>
  </si>
  <si>
    <t xml:space="preserve">         6111 Building Maintenance &amp; Repairs</t>
  </si>
  <si>
    <t xml:space="preserve">         6115 Maintenance Materials</t>
  </si>
  <si>
    <t xml:space="preserve">      Total 6110 Building Repairs &amp; Maintenance</t>
  </si>
  <si>
    <t xml:space="preserve">      6120 Grounds Maintenance</t>
  </si>
  <si>
    <t xml:space="preserve">      6121 Snow Removal</t>
  </si>
  <si>
    <t xml:space="preserve">      6130 Custodial Supplies</t>
  </si>
  <si>
    <t xml:space="preserve">      6131 Kitchen Supplies</t>
  </si>
  <si>
    <t xml:space="preserve">      6150 Safety</t>
  </si>
  <si>
    <t xml:space="preserve">      6151 Inspections</t>
  </si>
  <si>
    <t xml:space="preserve">      6191 Custodial Cleaning Services</t>
  </si>
  <si>
    <t xml:space="preserve">   Total 6100 Facilities-Other</t>
  </si>
  <si>
    <t>Finance Budget Overview</t>
  </si>
  <si>
    <t xml:space="preserve">      6140 Property &amp; Liability Insurance</t>
  </si>
  <si>
    <t xml:space="preserve">   6380 Financial Fees</t>
  </si>
  <si>
    <t xml:space="preserve">      6381 Bank Service Charges</t>
  </si>
  <si>
    <t xml:space="preserve">      6382 Professional Fees</t>
  </si>
  <si>
    <t xml:space="preserve">      6383 Payroll Service Fees</t>
  </si>
  <si>
    <t xml:space="preserve">      6384 Financial Publications</t>
  </si>
  <si>
    <t xml:space="preserve">      6385 Online Charges</t>
  </si>
  <si>
    <t xml:space="preserve">   Total 6380 Financial Fees</t>
  </si>
  <si>
    <t xml:space="preserve">   6390 Mortgage Principal Payment</t>
  </si>
  <si>
    <t>Other Expenses</t>
  </si>
  <si>
    <t xml:space="preserve">   7600 Interest Expense</t>
  </si>
  <si>
    <t xml:space="preserve">      7601 Mortgage Interest Payment</t>
  </si>
  <si>
    <t xml:space="preserve">   Total 7600 Interest Expense</t>
  </si>
  <si>
    <t>Total Other Expenses</t>
  </si>
  <si>
    <t>Outreach Budget Overview</t>
  </si>
  <si>
    <t xml:space="preserve">      6640 World Partners</t>
  </si>
  <si>
    <t xml:space="preserve">      6641 Retired Benevolence</t>
  </si>
  <si>
    <t xml:space="preserve">      6642 Local Outreach Ministries</t>
  </si>
  <si>
    <t xml:space="preserve">      6643 Evening Service</t>
  </si>
  <si>
    <t xml:space="preserve">      6645 World Mission Miscellaneous</t>
  </si>
  <si>
    <t xml:space="preserve">      6646 OMF</t>
  </si>
  <si>
    <t xml:space="preserve">   6701 North Shore Gospel Partnership</t>
  </si>
  <si>
    <t>Personnel Budget Overview</t>
  </si>
  <si>
    <t xml:space="preserve">   6400 Payroll Expenses</t>
  </si>
  <si>
    <t xml:space="preserve">      6410 Church Staff Payroll</t>
  </si>
  <si>
    <t xml:space="preserve">      6420 Employer Payroll Taxes</t>
  </si>
  <si>
    <t xml:space="preserve">      6430 Housing Allowance</t>
  </si>
  <si>
    <t xml:space="preserve">      6440 Workman's Compensation</t>
  </si>
  <si>
    <t xml:space="preserve">   Total 6400 Payroll Expenses</t>
  </si>
  <si>
    <t xml:space="preserve">   6450 Staffing Search Expense</t>
  </si>
  <si>
    <t xml:space="preserve">   6460 Ministry &amp; Mileage</t>
  </si>
  <si>
    <t xml:space="preserve">   6470 Education &amp; Resource</t>
  </si>
  <si>
    <t xml:space="preserve">   6500 Employee Benefits</t>
  </si>
  <si>
    <t xml:space="preserve">      6510 Health Insurance</t>
  </si>
  <si>
    <t xml:space="preserve">      6520 Retirement Benefit</t>
  </si>
  <si>
    <t xml:space="preserve">      6530 Long Term Disability Insurance</t>
  </si>
  <si>
    <t xml:space="preserve">      6540 Dental Insurance</t>
  </si>
  <si>
    <t xml:space="preserve">   Total 6500 Employee Benefits</t>
  </si>
  <si>
    <t>Worship Budget Overview</t>
  </si>
  <si>
    <t xml:space="preserve">      6602 Choir Music</t>
  </si>
  <si>
    <t xml:space="preserve">      6603 Communion</t>
  </si>
  <si>
    <t xml:space="preserve">      6604 Copyright License</t>
  </si>
  <si>
    <t xml:space="preserve">      6607 Instrument Maintenance</t>
  </si>
  <si>
    <t xml:space="preserve">      6608 Worship Audio/Visual</t>
  </si>
  <si>
    <t xml:space="preserve">      6610 Worship Aids</t>
  </si>
  <si>
    <t xml:space="preserve">      6611 Worship Media</t>
  </si>
  <si>
    <t xml:space="preserve">      6612 Worship Team</t>
  </si>
  <si>
    <t xml:space="preserve">      6613 Arts Ministry</t>
  </si>
  <si>
    <t xml:space="preserve">      6614 Hymnals</t>
  </si>
  <si>
    <t>Youth Ministry Budget Overview</t>
  </si>
  <si>
    <t xml:space="preserve">      6620 Youth Discipleship</t>
  </si>
  <si>
    <t xml:space="preserve">      6623 Youth Staff/Leaders</t>
  </si>
  <si>
    <t xml:space="preserve">      6624 Youth Events &amp; Outings</t>
  </si>
  <si>
    <t>Total Finance Expenses</t>
  </si>
  <si>
    <t xml:space="preserve">      6671 Discipleship General Supplies</t>
  </si>
  <si>
    <t xml:space="preserve">      6672 Senior Ministry</t>
  </si>
  <si>
    <t xml:space="preserve">      6674 Marriage Course</t>
  </si>
  <si>
    <t>6750 General Fund Transfer to Capital Equip Fund</t>
  </si>
  <si>
    <t xml:space="preserve">      6647 Local Partners</t>
  </si>
  <si>
    <t xml:space="preserve">      6615 Pew Bibles</t>
  </si>
  <si>
    <t xml:space="preserve">      6621 Youth General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</si>
</sst>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* @_)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39" fontId="3" fillId="0" borderId="0" xfId="0" applyNumberFormat="1" applyFont="1" applyAlignment="1">
      <alignment wrapText="1"/>
    </xf>
    <xf numFmtId="164" fontId="2" fillId="0" borderId="2" xfId="0" applyNumberFormat="1" applyFont="1" applyBorder="1" applyAlignment="1">
      <alignment horizontal="right" wrapText="1"/>
    </xf>
    <xf numFmtId="39" fontId="3" fillId="0" borderId="0" xfId="0" applyNumberFormat="1" applyFont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workbookViewId="0">
      <selection sqref="A1:B1"/>
    </sheetView>
  </sheetViews>
  <sheetFormatPr defaultRowHeight="15" x14ac:dyDescent="0.25"/>
  <cols>
    <col min="1" max="1" width="36.140625" customWidth="1"/>
    <col min="2" max="2" width="23.42578125" customWidth="1"/>
    <col min="3" max="3" width="20.7109375" customWidth="1"/>
  </cols>
  <sheetData>
    <row r="1" spans="1:3" ht="18" x14ac:dyDescent="0.25">
      <c r="A1" s="11" t="s">
        <v>12</v>
      </c>
      <c r="B1" s="10"/>
    </row>
    <row r="2" spans="1:3" x14ac:dyDescent="0.25">
      <c r="B2" s="8"/>
      <c r="C2" s="8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1</v>
      </c>
      <c r="B5" s="4"/>
    </row>
    <row r="6" spans="1:3" x14ac:dyDescent="0.25">
      <c r="A6" s="3" t="s">
        <v>2</v>
      </c>
      <c r="B6" s="6">
        <f>1250</f>
        <v>1250</v>
      </c>
      <c r="C6" s="6">
        <f>1400</f>
        <v>1400</v>
      </c>
    </row>
    <row r="7" spans="1:3" x14ac:dyDescent="0.25">
      <c r="A7" s="3" t="s">
        <v>3</v>
      </c>
      <c r="B7" s="6">
        <f>650</f>
        <v>650</v>
      </c>
      <c r="C7" s="6">
        <f>480</f>
        <v>480</v>
      </c>
    </row>
    <row r="8" spans="1:3" x14ac:dyDescent="0.25">
      <c r="A8" s="3" t="s">
        <v>4</v>
      </c>
      <c r="B8" s="6">
        <f>0</f>
        <v>0</v>
      </c>
      <c r="C8" s="6">
        <f>0</f>
        <v>0</v>
      </c>
    </row>
    <row r="9" spans="1:3" x14ac:dyDescent="0.25">
      <c r="A9" s="3" t="s">
        <v>5</v>
      </c>
      <c r="B9" s="6">
        <f>150</f>
        <v>150</v>
      </c>
      <c r="C9" s="6">
        <f>180</f>
        <v>180</v>
      </c>
    </row>
    <row r="10" spans="1:3" x14ac:dyDescent="0.25">
      <c r="A10" s="3" t="s">
        <v>6</v>
      </c>
      <c r="B10" s="6">
        <f>1200</f>
        <v>1200</v>
      </c>
      <c r="C10" s="6">
        <f>1230</f>
        <v>1230</v>
      </c>
    </row>
    <row r="11" spans="1:3" x14ac:dyDescent="0.25">
      <c r="A11" s="3" t="s">
        <v>7</v>
      </c>
      <c r="B11" s="6">
        <f>400</f>
        <v>400</v>
      </c>
      <c r="C11" s="6">
        <f>360</f>
        <v>360</v>
      </c>
    </row>
    <row r="12" spans="1:3" x14ac:dyDescent="0.25">
      <c r="A12" s="3" t="s">
        <v>8</v>
      </c>
      <c r="B12" s="6">
        <f>6500</f>
        <v>6500</v>
      </c>
      <c r="C12" s="6">
        <f>7000</f>
        <v>7000</v>
      </c>
    </row>
    <row r="13" spans="1:3" x14ac:dyDescent="0.25">
      <c r="A13" s="3" t="s">
        <v>9</v>
      </c>
      <c r="B13" s="6">
        <f>900</f>
        <v>900</v>
      </c>
      <c r="C13" s="6">
        <f>900</f>
        <v>900</v>
      </c>
    </row>
    <row r="14" spans="1:3" x14ac:dyDescent="0.25">
      <c r="A14" s="3" t="s">
        <v>10</v>
      </c>
      <c r="B14" s="5">
        <f>((((((((B5)+(B6))+(B7))+(B8))+(B9))+(B10))+(B11))+(B12))+(B13)</f>
        <v>11050</v>
      </c>
      <c r="C14" s="7">
        <f>((((((((C5)+(C6))+(C7))+(C8))+(C9))+(C10))+(C11))+(C12))+(C13)</f>
        <v>11550</v>
      </c>
    </row>
    <row r="18" spans="1:2" x14ac:dyDescent="0.25">
      <c r="A18" s="3"/>
      <c r="B18" s="4"/>
    </row>
    <row r="21" spans="1:2" x14ac:dyDescent="0.25">
      <c r="A21" s="9"/>
      <c r="B21" s="10"/>
    </row>
  </sheetData>
  <mergeCells count="2">
    <mergeCell ref="A21:B21"/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CEC3-8F1E-470E-9357-D03C7E03B679}">
  <dimension ref="A1:C22"/>
  <sheetViews>
    <sheetView workbookViewId="0">
      <selection sqref="A1:B1"/>
    </sheetView>
  </sheetViews>
  <sheetFormatPr defaultRowHeight="15" x14ac:dyDescent="0.25"/>
  <cols>
    <col min="1" max="1" width="36.140625" customWidth="1"/>
    <col min="2" max="2" width="23.28515625" customWidth="1"/>
    <col min="3" max="3" width="17.42578125" customWidth="1"/>
  </cols>
  <sheetData>
    <row r="1" spans="1:3" ht="18" x14ac:dyDescent="0.25">
      <c r="A1" s="11" t="s">
        <v>108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1</v>
      </c>
      <c r="B5" s="4"/>
    </row>
    <row r="6" spans="1:3" x14ac:dyDescent="0.25">
      <c r="A6" s="3" t="s">
        <v>109</v>
      </c>
      <c r="B6" s="6">
        <f>1183</f>
        <v>1183</v>
      </c>
      <c r="C6" s="6">
        <f>1100</f>
        <v>1100</v>
      </c>
    </row>
    <row r="7" spans="1:3" x14ac:dyDescent="0.25">
      <c r="A7" s="3" t="s">
        <v>110</v>
      </c>
      <c r="B7" s="6">
        <f>800</f>
        <v>800</v>
      </c>
      <c r="C7" s="6">
        <f>840</f>
        <v>840</v>
      </c>
    </row>
    <row r="8" spans="1:3" x14ac:dyDescent="0.25">
      <c r="A8" s="3" t="s">
        <v>111</v>
      </c>
      <c r="B8" s="6">
        <f>1092</f>
        <v>1092</v>
      </c>
      <c r="C8" s="6">
        <f>1148</f>
        <v>1148</v>
      </c>
    </row>
    <row r="9" spans="1:3" x14ac:dyDescent="0.25">
      <c r="A9" s="3" t="s">
        <v>112</v>
      </c>
      <c r="B9" s="6">
        <f>1800</f>
        <v>1800</v>
      </c>
      <c r="C9" s="6">
        <f>1800</f>
        <v>1800</v>
      </c>
    </row>
    <row r="10" spans="1:3" x14ac:dyDescent="0.25">
      <c r="A10" s="3" t="s">
        <v>113</v>
      </c>
      <c r="B10" s="6">
        <f>4000</f>
        <v>4000</v>
      </c>
      <c r="C10" s="6">
        <f>3600</f>
        <v>3600</v>
      </c>
    </row>
    <row r="11" spans="1:3" x14ac:dyDescent="0.25">
      <c r="A11" s="3" t="s">
        <v>114</v>
      </c>
      <c r="B11" s="6">
        <f>900</f>
        <v>900</v>
      </c>
      <c r="C11" s="6">
        <f>1800</f>
        <v>1800</v>
      </c>
    </row>
    <row r="12" spans="1:3" x14ac:dyDescent="0.25">
      <c r="A12" s="3" t="s">
        <v>115</v>
      </c>
      <c r="B12" s="6">
        <f>300</f>
        <v>300</v>
      </c>
      <c r="C12" s="6">
        <f>200</f>
        <v>200</v>
      </c>
    </row>
    <row r="13" spans="1:3" x14ac:dyDescent="0.25">
      <c r="A13" s="3" t="s">
        <v>116</v>
      </c>
      <c r="B13" s="6">
        <f>900</f>
        <v>900</v>
      </c>
      <c r="C13" s="6">
        <f>900</f>
        <v>900</v>
      </c>
    </row>
    <row r="14" spans="1:3" x14ac:dyDescent="0.25">
      <c r="A14" s="3" t="s">
        <v>117</v>
      </c>
      <c r="B14" s="6">
        <f>1000</f>
        <v>1000</v>
      </c>
      <c r="C14" s="6">
        <f>1000</f>
        <v>1000</v>
      </c>
    </row>
    <row r="15" spans="1:3" x14ac:dyDescent="0.25">
      <c r="A15" s="3" t="s">
        <v>118</v>
      </c>
      <c r="B15" s="6">
        <f>6000</f>
        <v>6000</v>
      </c>
      <c r="C15" s="6"/>
    </row>
    <row r="16" spans="1:3" x14ac:dyDescent="0.25">
      <c r="A16" s="3" t="s">
        <v>129</v>
      </c>
      <c r="B16" s="6">
        <v>4000</v>
      </c>
      <c r="C16" s="6"/>
    </row>
    <row r="17" spans="1:3" x14ac:dyDescent="0.25">
      <c r="A17" s="3" t="s">
        <v>10</v>
      </c>
      <c r="B17" s="7">
        <f>((((((((B5)+(B6))+(B7))+(B8))+(B9))+(B10))+(B11))+(B12))+(B13)+B14+B15+B16</f>
        <v>21975</v>
      </c>
      <c r="C17" s="7">
        <f>((((((((C5)+(C6))+(C7))+(C8))+(C9))+(C10))+(C11))+(C12))+(C13)+C14+C15+C16</f>
        <v>12388</v>
      </c>
    </row>
    <row r="18" spans="1:3" x14ac:dyDescent="0.25">
      <c r="A18" s="3" t="s">
        <v>11</v>
      </c>
      <c r="B18" s="7">
        <f>B17</f>
        <v>21975</v>
      </c>
      <c r="C18" s="7">
        <f>C17</f>
        <v>12388</v>
      </c>
    </row>
    <row r="22" spans="1:3" x14ac:dyDescent="0.25">
      <c r="A22" s="9"/>
      <c r="B22" s="10"/>
    </row>
  </sheetData>
  <mergeCells count="2">
    <mergeCell ref="A1:B1"/>
    <mergeCell ref="A22:B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B220-6AFA-4203-92C7-AE9364F5CCE1}">
  <dimension ref="A1:C17"/>
  <sheetViews>
    <sheetView workbookViewId="0">
      <selection sqref="A1:B1"/>
    </sheetView>
  </sheetViews>
  <sheetFormatPr defaultRowHeight="15" x14ac:dyDescent="0.25"/>
  <cols>
    <col min="1" max="1" width="36.140625" customWidth="1"/>
    <col min="2" max="2" width="26" customWidth="1"/>
    <col min="3" max="3" width="22" customWidth="1"/>
  </cols>
  <sheetData>
    <row r="1" spans="1:3" ht="18" x14ac:dyDescent="0.25">
      <c r="A1" s="11" t="s">
        <v>119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1</v>
      </c>
      <c r="B5" s="4"/>
    </row>
    <row r="6" spans="1:3" x14ac:dyDescent="0.25">
      <c r="A6" s="3" t="s">
        <v>120</v>
      </c>
      <c r="B6" s="6">
        <f>1200</f>
        <v>1200</v>
      </c>
      <c r="C6" s="6">
        <f>1200</f>
        <v>1200</v>
      </c>
    </row>
    <row r="7" spans="1:3" x14ac:dyDescent="0.25">
      <c r="A7" s="3" t="s">
        <v>130</v>
      </c>
      <c r="B7" s="6">
        <f>600</f>
        <v>600</v>
      </c>
      <c r="C7" s="6">
        <f>600</f>
        <v>600</v>
      </c>
    </row>
    <row r="8" spans="1:3" x14ac:dyDescent="0.25">
      <c r="A8" s="3" t="s">
        <v>121</v>
      </c>
      <c r="B8" s="6">
        <f>2400</f>
        <v>2400</v>
      </c>
      <c r="C8" s="6">
        <f>2400</f>
        <v>2400</v>
      </c>
    </row>
    <row r="9" spans="1:3" x14ac:dyDescent="0.25">
      <c r="A9" s="3" t="s">
        <v>122</v>
      </c>
      <c r="B9" s="6">
        <f>3300</f>
        <v>3300</v>
      </c>
      <c r="C9" s="6">
        <f>3300</f>
        <v>3300</v>
      </c>
    </row>
    <row r="10" spans="1:3" x14ac:dyDescent="0.25">
      <c r="A10" s="3" t="s">
        <v>10</v>
      </c>
      <c r="B10" s="7">
        <f>((((B5)+(B6))+(B7))+(B8))+(B9)</f>
        <v>7500</v>
      </c>
      <c r="C10" s="7">
        <f>((((C5)+(C6))+(C7))+(C8))+(C9)</f>
        <v>7500</v>
      </c>
    </row>
    <row r="11" spans="1:3" x14ac:dyDescent="0.25">
      <c r="A11" s="3" t="s">
        <v>11</v>
      </c>
      <c r="B11" s="7">
        <f>B10</f>
        <v>7500</v>
      </c>
      <c r="C11" s="7">
        <f>C10</f>
        <v>7500</v>
      </c>
    </row>
    <row r="14" spans="1:3" x14ac:dyDescent="0.25">
      <c r="A14" s="3"/>
      <c r="B14" s="4"/>
    </row>
    <row r="17" spans="1:2" x14ac:dyDescent="0.25">
      <c r="A17" s="9"/>
      <c r="B17" s="10"/>
    </row>
  </sheetData>
  <mergeCells count="2">
    <mergeCell ref="A1:B1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4CC7-5D9B-4724-837D-742DE7172723}">
  <dimension ref="A1:C31"/>
  <sheetViews>
    <sheetView workbookViewId="0">
      <selection sqref="A1:B1"/>
    </sheetView>
  </sheetViews>
  <sheetFormatPr defaultRowHeight="15" x14ac:dyDescent="0.25"/>
  <cols>
    <col min="1" max="1" width="36.140625" customWidth="1"/>
    <col min="2" max="2" width="27.140625" customWidth="1"/>
    <col min="3" max="3" width="24" customWidth="1"/>
  </cols>
  <sheetData>
    <row r="1" spans="1:3" ht="18" x14ac:dyDescent="0.25">
      <c r="A1" s="11" t="s">
        <v>13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14</v>
      </c>
      <c r="B5" s="6">
        <f>1000</f>
        <v>1000</v>
      </c>
      <c r="C5" s="6">
        <f>1000</f>
        <v>1000</v>
      </c>
    </row>
    <row r="6" spans="1:3" x14ac:dyDescent="0.25">
      <c r="A6" s="3" t="s">
        <v>15</v>
      </c>
      <c r="B6" s="6">
        <f>1000</f>
        <v>1000</v>
      </c>
      <c r="C6" s="6">
        <f>1000</f>
        <v>1000</v>
      </c>
    </row>
    <row r="7" spans="1:3" x14ac:dyDescent="0.25">
      <c r="A7" s="3" t="s">
        <v>16</v>
      </c>
      <c r="B7" s="6">
        <f>2400</f>
        <v>2400</v>
      </c>
      <c r="C7" s="6">
        <f>2400</f>
        <v>2400</v>
      </c>
    </row>
    <row r="8" spans="1:3" x14ac:dyDescent="0.25">
      <c r="A8" s="3" t="s">
        <v>17</v>
      </c>
      <c r="B8" s="6">
        <f>600</f>
        <v>600</v>
      </c>
      <c r="C8" s="6">
        <f>600</f>
        <v>600</v>
      </c>
    </row>
    <row r="9" spans="1:3" x14ac:dyDescent="0.25">
      <c r="A9" s="3" t="s">
        <v>18</v>
      </c>
      <c r="B9" s="6">
        <f>3600</f>
        <v>3600</v>
      </c>
      <c r="C9" s="6">
        <f>6540</f>
        <v>6540</v>
      </c>
    </row>
    <row r="10" spans="1:3" x14ac:dyDescent="0.25">
      <c r="A10" s="3" t="s">
        <v>19</v>
      </c>
      <c r="B10" s="6">
        <f>700</f>
        <v>700</v>
      </c>
      <c r="C10" s="6">
        <f>700</f>
        <v>700</v>
      </c>
    </row>
    <row r="11" spans="1:3" x14ac:dyDescent="0.25">
      <c r="A11" s="3" t="s">
        <v>20</v>
      </c>
      <c r="B11" s="6">
        <f>3700</f>
        <v>3700</v>
      </c>
      <c r="C11" s="6">
        <f>2426</f>
        <v>2426</v>
      </c>
    </row>
    <row r="12" spans="1:3" x14ac:dyDescent="0.25">
      <c r="A12" s="3" t="s">
        <v>21</v>
      </c>
      <c r="B12" s="4"/>
      <c r="C12" s="4"/>
    </row>
    <row r="13" spans="1:3" x14ac:dyDescent="0.25">
      <c r="A13" s="3" t="s">
        <v>22</v>
      </c>
      <c r="B13" s="6">
        <f>1000</f>
        <v>1000</v>
      </c>
      <c r="C13" s="6">
        <f>1000</f>
        <v>1000</v>
      </c>
    </row>
    <row r="14" spans="1:3" x14ac:dyDescent="0.25">
      <c r="A14" s="3" t="s">
        <v>23</v>
      </c>
      <c r="B14" s="6">
        <f>3500</f>
        <v>3500</v>
      </c>
      <c r="C14" s="6">
        <f>3500</f>
        <v>3500</v>
      </c>
    </row>
    <row r="15" spans="1:3" x14ac:dyDescent="0.25">
      <c r="A15" s="3" t="s">
        <v>24</v>
      </c>
      <c r="B15" s="6">
        <f>5585</f>
        <v>5585</v>
      </c>
      <c r="C15" s="6">
        <f>6000</f>
        <v>6000</v>
      </c>
    </row>
    <row r="16" spans="1:3" x14ac:dyDescent="0.25">
      <c r="A16" s="3" t="s">
        <v>25</v>
      </c>
      <c r="B16" s="7">
        <f>(((B12)+(B13))+(B14))+(B15)</f>
        <v>10085</v>
      </c>
      <c r="C16" s="7">
        <f>(((C12)+(C13))+(C14))+(C15)</f>
        <v>10500</v>
      </c>
    </row>
    <row r="17" spans="1:3" x14ac:dyDescent="0.25">
      <c r="A17" s="3" t="s">
        <v>26</v>
      </c>
      <c r="B17" s="6">
        <f>1100</f>
        <v>1100</v>
      </c>
      <c r="C17" s="6">
        <f>1000</f>
        <v>1000</v>
      </c>
    </row>
    <row r="18" spans="1:3" x14ac:dyDescent="0.25">
      <c r="A18" s="3" t="s">
        <v>27</v>
      </c>
      <c r="B18" s="6">
        <f>3600</f>
        <v>3600</v>
      </c>
      <c r="C18" s="6">
        <f>3600</f>
        <v>3600</v>
      </c>
    </row>
    <row r="19" spans="1:3" x14ac:dyDescent="0.25">
      <c r="A19" s="3" t="s">
        <v>28</v>
      </c>
      <c r="B19" s="6">
        <f>1225</f>
        <v>1225</v>
      </c>
      <c r="C19" s="6">
        <f>1150</f>
        <v>1150</v>
      </c>
    </row>
    <row r="20" spans="1:3" x14ac:dyDescent="0.25">
      <c r="A20" s="3" t="s">
        <v>29</v>
      </c>
      <c r="B20" s="6">
        <f>200</f>
        <v>200</v>
      </c>
      <c r="C20" s="6">
        <f>200</f>
        <v>200</v>
      </c>
    </row>
    <row r="21" spans="1:3" x14ac:dyDescent="0.25">
      <c r="A21" s="3" t="s">
        <v>1</v>
      </c>
      <c r="B21" s="4"/>
      <c r="C21" s="4"/>
    </row>
    <row r="22" spans="1:3" x14ac:dyDescent="0.25">
      <c r="A22" s="3" t="s">
        <v>30</v>
      </c>
      <c r="B22" s="6">
        <f>500</f>
        <v>500</v>
      </c>
      <c r="C22" s="6">
        <f>750</f>
        <v>750</v>
      </c>
    </row>
    <row r="23" spans="1:3" x14ac:dyDescent="0.25">
      <c r="A23" s="3" t="s">
        <v>31</v>
      </c>
      <c r="B23" s="6">
        <f>1000</f>
        <v>1000</v>
      </c>
      <c r="C23" s="6">
        <f>1000</f>
        <v>1000</v>
      </c>
    </row>
    <row r="24" spans="1:3" x14ac:dyDescent="0.25">
      <c r="A24" s="3" t="s">
        <v>10</v>
      </c>
      <c r="B24" s="7">
        <f>((B21)+(B22))+(B23)</f>
        <v>1500</v>
      </c>
      <c r="C24" s="7">
        <f>((C21)+(C22))+(C23)</f>
        <v>1750</v>
      </c>
    </row>
    <row r="25" spans="1:3" x14ac:dyDescent="0.25">
      <c r="A25" s="3" t="s">
        <v>11</v>
      </c>
      <c r="B25" s="7">
        <f>((((((((((((B5)+(B6))+(B7))+(B8))+(B9))+(B10))+(B11))+(B16))+(B17))+(B18))+(B19))+(B20))+(B24)</f>
        <v>30710</v>
      </c>
      <c r="C25" s="7">
        <f>((((((((((((C5)+(C6))+(C7))+(C8))+(C9))+(C10))+(C11))+(C16))+(C17))+(C18))+(C19))+(C20))+(C24)</f>
        <v>32866</v>
      </c>
    </row>
    <row r="28" spans="1:3" x14ac:dyDescent="0.25">
      <c r="A28" s="3"/>
      <c r="B28" s="4"/>
    </row>
    <row r="31" spans="1:3" x14ac:dyDescent="0.25">
      <c r="A31" s="9"/>
      <c r="B31" s="10"/>
    </row>
  </sheetData>
  <mergeCells count="2">
    <mergeCell ref="A1:B1"/>
    <mergeCell ref="A31:B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363C-8231-4A47-8F1A-1BD39ED50D08}">
  <dimension ref="A1:C18"/>
  <sheetViews>
    <sheetView workbookViewId="0">
      <selection sqref="A1:B1"/>
    </sheetView>
  </sheetViews>
  <sheetFormatPr defaultRowHeight="15" x14ac:dyDescent="0.25"/>
  <cols>
    <col min="1" max="1" width="36.140625" customWidth="1"/>
    <col min="2" max="2" width="26" customWidth="1"/>
    <col min="3" max="3" width="20.5703125" customWidth="1"/>
  </cols>
  <sheetData>
    <row r="1" spans="1:3" ht="18" x14ac:dyDescent="0.25">
      <c r="A1" s="11" t="s">
        <v>32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1</v>
      </c>
      <c r="B5" s="4"/>
    </row>
    <row r="6" spans="1:3" x14ac:dyDescent="0.25">
      <c r="A6" s="3" t="s">
        <v>33</v>
      </c>
      <c r="B6" s="6">
        <f>1200</f>
        <v>1200</v>
      </c>
      <c r="C6" s="6">
        <f>1600</f>
        <v>1600</v>
      </c>
    </row>
    <row r="7" spans="1:3" x14ac:dyDescent="0.25">
      <c r="A7" s="3" t="s">
        <v>34</v>
      </c>
      <c r="B7" s="6">
        <f>300</f>
        <v>300</v>
      </c>
      <c r="C7" s="6">
        <f>300</f>
        <v>300</v>
      </c>
    </row>
    <row r="8" spans="1:3" x14ac:dyDescent="0.25">
      <c r="A8" s="3" t="s">
        <v>35</v>
      </c>
      <c r="B8" s="6">
        <f>900</f>
        <v>900</v>
      </c>
      <c r="C8" s="6">
        <f>900</f>
        <v>900</v>
      </c>
    </row>
    <row r="9" spans="1:3" x14ac:dyDescent="0.25">
      <c r="A9" s="3" t="s">
        <v>36</v>
      </c>
      <c r="B9" s="6">
        <f>4000</f>
        <v>4000</v>
      </c>
      <c r="C9" s="6">
        <f>4000</f>
        <v>4000</v>
      </c>
    </row>
    <row r="10" spans="1:3" x14ac:dyDescent="0.25">
      <c r="A10" s="3" t="s">
        <v>37</v>
      </c>
      <c r="B10" s="6">
        <f>2400</f>
        <v>2400</v>
      </c>
      <c r="C10" s="6">
        <f>2400</f>
        <v>2400</v>
      </c>
    </row>
    <row r="11" spans="1:3" x14ac:dyDescent="0.25">
      <c r="A11" s="3" t="s">
        <v>10</v>
      </c>
      <c r="B11" s="7">
        <f>(((((B5)+(B6))+(B7))+(B8))+(B9))+(B10)</f>
        <v>8800</v>
      </c>
      <c r="C11" s="7">
        <f>(((((C5)+(C6))+(C7))+(C8))+(C9))+(C10)</f>
        <v>9200</v>
      </c>
    </row>
    <row r="12" spans="1:3" x14ac:dyDescent="0.25">
      <c r="A12" s="3" t="s">
        <v>11</v>
      </c>
      <c r="B12" s="7">
        <f>B11</f>
        <v>8800</v>
      </c>
      <c r="C12" s="7">
        <f>C11</f>
        <v>9200</v>
      </c>
    </row>
    <row r="15" spans="1:3" x14ac:dyDescent="0.25">
      <c r="A15" s="3"/>
      <c r="B15" s="4"/>
    </row>
    <row r="18" spans="1:2" x14ac:dyDescent="0.25">
      <c r="A18" s="9"/>
      <c r="B18" s="10"/>
    </row>
  </sheetData>
  <mergeCells count="2">
    <mergeCell ref="A1:B1"/>
    <mergeCell ref="A18:B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EB69-225C-4283-A4F1-AB17E8276990}">
  <dimension ref="A1:C19"/>
  <sheetViews>
    <sheetView workbookViewId="0">
      <selection sqref="A1:B1"/>
    </sheetView>
  </sheetViews>
  <sheetFormatPr defaultRowHeight="15" x14ac:dyDescent="0.25"/>
  <cols>
    <col min="1" max="1" width="36.140625" customWidth="1"/>
    <col min="2" max="2" width="23.5703125" customWidth="1"/>
    <col min="3" max="3" width="24.140625" customWidth="1"/>
  </cols>
  <sheetData>
    <row r="1" spans="1:3" ht="18" x14ac:dyDescent="0.25">
      <c r="A1" s="11" t="s">
        <v>38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1</v>
      </c>
      <c r="B5" s="4"/>
    </row>
    <row r="6" spans="1:3" x14ac:dyDescent="0.25">
      <c r="A6" s="3" t="s">
        <v>39</v>
      </c>
      <c r="B6" s="6">
        <f>100</f>
        <v>100</v>
      </c>
      <c r="C6" s="6">
        <f>100</f>
        <v>100</v>
      </c>
    </row>
    <row r="7" spans="1:3" x14ac:dyDescent="0.25">
      <c r="A7" s="3" t="s">
        <v>40</v>
      </c>
      <c r="B7" s="6">
        <f>600</f>
        <v>600</v>
      </c>
      <c r="C7" s="6">
        <f>800</f>
        <v>800</v>
      </c>
    </row>
    <row r="8" spans="1:3" x14ac:dyDescent="0.25">
      <c r="A8" s="3" t="s">
        <v>41</v>
      </c>
      <c r="B8" s="6">
        <f>1200</f>
        <v>1200</v>
      </c>
      <c r="C8" s="6">
        <f>1000</f>
        <v>1000</v>
      </c>
    </row>
    <row r="9" spans="1:3" x14ac:dyDescent="0.25">
      <c r="A9" s="3" t="s">
        <v>42</v>
      </c>
      <c r="B9" s="6">
        <f>1200</f>
        <v>1200</v>
      </c>
      <c r="C9" s="6">
        <f>1400</f>
        <v>1400</v>
      </c>
    </row>
    <row r="10" spans="1:3" x14ac:dyDescent="0.25">
      <c r="A10" s="3" t="s">
        <v>43</v>
      </c>
      <c r="B10" s="6">
        <f>500</f>
        <v>500</v>
      </c>
      <c r="C10" s="6">
        <f>500</f>
        <v>500</v>
      </c>
    </row>
    <row r="11" spans="1:3" x14ac:dyDescent="0.25">
      <c r="A11" s="3" t="s">
        <v>124</v>
      </c>
      <c r="B11" s="6">
        <f>600</f>
        <v>600</v>
      </c>
      <c r="C11" s="6">
        <f>800</f>
        <v>800</v>
      </c>
    </row>
    <row r="12" spans="1:3" x14ac:dyDescent="0.25">
      <c r="A12" s="3" t="s">
        <v>125</v>
      </c>
      <c r="B12" s="6">
        <f>1000</f>
        <v>1000</v>
      </c>
      <c r="C12" s="6">
        <f>200</f>
        <v>200</v>
      </c>
    </row>
    <row r="13" spans="1:3" x14ac:dyDescent="0.25">
      <c r="A13" s="3" t="s">
        <v>44</v>
      </c>
      <c r="B13" s="6">
        <f>400</f>
        <v>400</v>
      </c>
      <c r="C13" s="6">
        <f>500</f>
        <v>500</v>
      </c>
    </row>
    <row r="14" spans="1:3" x14ac:dyDescent="0.25">
      <c r="A14" s="3" t="s">
        <v>126</v>
      </c>
      <c r="B14" s="6"/>
      <c r="C14" s="6"/>
    </row>
    <row r="15" spans="1:3" x14ac:dyDescent="0.25">
      <c r="A15" s="3" t="s">
        <v>10</v>
      </c>
      <c r="B15" s="7">
        <f>((((((((B5)+(B6))+(B7))+(B8))+(B9))+(B10))+(B11))+(B12))+(B13)</f>
        <v>5600</v>
      </c>
      <c r="C15" s="7">
        <f>((((((((C5)+(C6))+(C7))+(C8))+(C9))+(C10))+(C11))+(C12))+(C13)</f>
        <v>5300</v>
      </c>
    </row>
    <row r="16" spans="1:3" x14ac:dyDescent="0.25">
      <c r="A16" s="3" t="s">
        <v>11</v>
      </c>
      <c r="B16" s="7">
        <f>B15</f>
        <v>5600</v>
      </c>
      <c r="C16" s="7">
        <f>C15</f>
        <v>5300</v>
      </c>
    </row>
    <row r="19" spans="1:2" x14ac:dyDescent="0.25">
      <c r="A19" s="9"/>
      <c r="B19" s="10"/>
    </row>
  </sheetData>
  <mergeCells count="2">
    <mergeCell ref="A1:B1"/>
    <mergeCell ref="A19:B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29023-ECD1-4218-9E71-F9EBD53142EC}">
  <dimension ref="A1:C14"/>
  <sheetViews>
    <sheetView workbookViewId="0">
      <selection sqref="A1:B1"/>
    </sheetView>
  </sheetViews>
  <sheetFormatPr defaultRowHeight="15" x14ac:dyDescent="0.25"/>
  <cols>
    <col min="1" max="1" width="36.140625" customWidth="1"/>
    <col min="2" max="2" width="23.5703125" customWidth="1"/>
    <col min="3" max="3" width="21.85546875" customWidth="1"/>
  </cols>
  <sheetData>
    <row r="1" spans="1:3" ht="18" x14ac:dyDescent="0.25">
      <c r="A1" s="11" t="s">
        <v>45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46</v>
      </c>
      <c r="B5" s="6">
        <f>2820</f>
        <v>2820</v>
      </c>
      <c r="C5" s="6">
        <f>3000</f>
        <v>3000</v>
      </c>
    </row>
    <row r="6" spans="1:3" x14ac:dyDescent="0.25">
      <c r="A6" s="3" t="s">
        <v>47</v>
      </c>
      <c r="B6" s="6">
        <f>2000</f>
        <v>2000</v>
      </c>
      <c r="C6" s="6">
        <f>3550</f>
        <v>3550</v>
      </c>
    </row>
    <row r="7" spans="1:3" x14ac:dyDescent="0.25">
      <c r="A7" s="3" t="s">
        <v>48</v>
      </c>
      <c r="B7" s="6">
        <f>4200</f>
        <v>4200</v>
      </c>
      <c r="C7" s="6">
        <f>4500</f>
        <v>4500</v>
      </c>
    </row>
    <row r="8" spans="1:3" x14ac:dyDescent="0.25">
      <c r="A8" s="3" t="s">
        <v>11</v>
      </c>
      <c r="B8" s="7">
        <f>((B5)+(B6))+(B7)</f>
        <v>9020</v>
      </c>
      <c r="C8" s="7">
        <f>((C5)+(C6))+(C7)</f>
        <v>11050</v>
      </c>
    </row>
    <row r="11" spans="1:3" x14ac:dyDescent="0.25">
      <c r="A11" s="3"/>
      <c r="B11" s="4"/>
    </row>
    <row r="14" spans="1:3" x14ac:dyDescent="0.25">
      <c r="A14" s="9"/>
      <c r="B14" s="10"/>
    </row>
  </sheetData>
  <mergeCells count="2">
    <mergeCell ref="A1:B1"/>
    <mergeCell ref="A14: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B78CE-634B-44E2-96A3-731AD3084BA8}">
  <dimension ref="A1:C30"/>
  <sheetViews>
    <sheetView workbookViewId="0">
      <selection sqref="A1:B1"/>
    </sheetView>
  </sheetViews>
  <sheetFormatPr defaultRowHeight="15" x14ac:dyDescent="0.25"/>
  <cols>
    <col min="1" max="1" width="41.28515625" customWidth="1"/>
    <col min="2" max="2" width="22.85546875" customWidth="1"/>
    <col min="3" max="3" width="20" customWidth="1"/>
  </cols>
  <sheetData>
    <row r="1" spans="1:3" ht="18" x14ac:dyDescent="0.25">
      <c r="A1" s="11" t="s">
        <v>49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50</v>
      </c>
      <c r="B5" s="4"/>
    </row>
    <row r="6" spans="1:3" x14ac:dyDescent="0.25">
      <c r="A6" s="3" t="s">
        <v>51</v>
      </c>
      <c r="B6" s="6">
        <f>35192</f>
        <v>35192</v>
      </c>
      <c r="C6" s="6">
        <f>26292</f>
        <v>26292</v>
      </c>
    </row>
    <row r="7" spans="1:3" x14ac:dyDescent="0.25">
      <c r="A7" s="3" t="s">
        <v>52</v>
      </c>
      <c r="B7" s="6">
        <f>21000</f>
        <v>21000</v>
      </c>
      <c r="C7" s="6">
        <f>22400</f>
        <v>22400</v>
      </c>
    </row>
    <row r="8" spans="1:3" x14ac:dyDescent="0.25">
      <c r="A8" s="3" t="s">
        <v>53</v>
      </c>
      <c r="B8" s="6">
        <f>3650</f>
        <v>3650</v>
      </c>
      <c r="C8" s="6">
        <f>4050</f>
        <v>4050</v>
      </c>
    </row>
    <row r="9" spans="1:3" x14ac:dyDescent="0.25">
      <c r="A9" s="3" t="s">
        <v>54</v>
      </c>
      <c r="B9" s="6">
        <f>3000</f>
        <v>3000</v>
      </c>
      <c r="C9" s="6">
        <f>3900</f>
        <v>3900</v>
      </c>
    </row>
    <row r="10" spans="1:3" x14ac:dyDescent="0.25">
      <c r="A10" s="3" t="s">
        <v>55</v>
      </c>
      <c r="B10" s="7">
        <f>((((B5)+(B6))+(B7))+(B8))+(B9)</f>
        <v>62842</v>
      </c>
      <c r="C10" s="7">
        <f>((((C5)+(C6))+(C7))+(C8))+(C9)</f>
        <v>56642</v>
      </c>
    </row>
    <row r="11" spans="1:3" x14ac:dyDescent="0.25">
      <c r="A11" s="3" t="s">
        <v>56</v>
      </c>
      <c r="B11" s="4"/>
      <c r="C11" s="4"/>
    </row>
    <row r="12" spans="1:3" x14ac:dyDescent="0.25">
      <c r="A12" s="3" t="s">
        <v>57</v>
      </c>
      <c r="B12" s="4"/>
      <c r="C12" s="4"/>
    </row>
    <row r="13" spans="1:3" x14ac:dyDescent="0.25">
      <c r="A13" s="3" t="s">
        <v>58</v>
      </c>
      <c r="B13" s="6">
        <f>20340</f>
        <v>20340</v>
      </c>
      <c r="C13" s="6">
        <f>20340</f>
        <v>20340</v>
      </c>
    </row>
    <row r="14" spans="1:3" x14ac:dyDescent="0.25">
      <c r="A14" s="3" t="s">
        <v>59</v>
      </c>
      <c r="B14" s="6">
        <f>6850</f>
        <v>6850</v>
      </c>
      <c r="C14" s="6">
        <f>6850</f>
        <v>6850</v>
      </c>
    </row>
    <row r="15" spans="1:3" x14ac:dyDescent="0.25">
      <c r="A15" s="3" t="s">
        <v>60</v>
      </c>
      <c r="B15" s="7">
        <f>((B12)+(B13))+(B14)</f>
        <v>27190</v>
      </c>
      <c r="C15" s="7">
        <f>((C12)+(C13))+(C14)</f>
        <v>27190</v>
      </c>
    </row>
    <row r="16" spans="1:3" x14ac:dyDescent="0.25">
      <c r="A16" s="3" t="s">
        <v>61</v>
      </c>
      <c r="B16" s="6">
        <f>2100</f>
        <v>2100</v>
      </c>
      <c r="C16" s="6">
        <f>3700</f>
        <v>3700</v>
      </c>
    </row>
    <row r="17" spans="1:3" x14ac:dyDescent="0.25">
      <c r="A17" s="3" t="s">
        <v>62</v>
      </c>
      <c r="B17" s="6">
        <f>4000</f>
        <v>4000</v>
      </c>
      <c r="C17" s="6">
        <f>6500</f>
        <v>6500</v>
      </c>
    </row>
    <row r="18" spans="1:3" x14ac:dyDescent="0.25">
      <c r="A18" s="3" t="s">
        <v>63</v>
      </c>
      <c r="B18" s="6">
        <f>2000</f>
        <v>2000</v>
      </c>
      <c r="C18" s="6">
        <f>2400</f>
        <v>2400</v>
      </c>
    </row>
    <row r="19" spans="1:3" x14ac:dyDescent="0.25">
      <c r="A19" s="3" t="s">
        <v>64</v>
      </c>
      <c r="B19" s="6">
        <f>200</f>
        <v>200</v>
      </c>
      <c r="C19" s="6">
        <f>193</f>
        <v>193</v>
      </c>
    </row>
    <row r="20" spans="1:3" x14ac:dyDescent="0.25">
      <c r="A20" s="3" t="s">
        <v>65</v>
      </c>
      <c r="B20" s="6">
        <f>2200</f>
        <v>2200</v>
      </c>
      <c r="C20" s="6">
        <f>2200</f>
        <v>2200</v>
      </c>
    </row>
    <row r="21" spans="1:3" x14ac:dyDescent="0.25">
      <c r="A21" s="3" t="s">
        <v>66</v>
      </c>
      <c r="B21" s="6">
        <f>3500</f>
        <v>3500</v>
      </c>
      <c r="C21" s="6">
        <f>6625</f>
        <v>6625</v>
      </c>
    </row>
    <row r="22" spans="1:3" x14ac:dyDescent="0.25">
      <c r="A22" s="3" t="s">
        <v>67</v>
      </c>
      <c r="B22" s="6">
        <f>16900</f>
        <v>16900</v>
      </c>
      <c r="C22" s="6">
        <f>22880</f>
        <v>22880</v>
      </c>
    </row>
    <row r="23" spans="1:3" x14ac:dyDescent="0.25">
      <c r="A23" s="3" t="s">
        <v>68</v>
      </c>
      <c r="B23" s="7">
        <f>((((((((B11)+(B15))+(B16))+(B17))+(B18))+(B19))+(B20))+(B21))+(B22)</f>
        <v>58090</v>
      </c>
      <c r="C23" s="7">
        <f>((((((((C11)+(C15))+(C16))+(C17))+(C18))+(C19))+(C20))+(C21))+(C22)</f>
        <v>71688</v>
      </c>
    </row>
    <row r="24" spans="1:3" x14ac:dyDescent="0.25">
      <c r="A24" s="3" t="s">
        <v>11</v>
      </c>
      <c r="B24" s="7">
        <f>(B10)+(B23)</f>
        <v>120932</v>
      </c>
      <c r="C24" s="7">
        <f>(C10)+(C23)</f>
        <v>128330</v>
      </c>
    </row>
    <row r="27" spans="1:3" x14ac:dyDescent="0.25">
      <c r="A27" s="3"/>
      <c r="B27" s="4"/>
    </row>
    <row r="30" spans="1:3" x14ac:dyDescent="0.25">
      <c r="A30" s="9"/>
      <c r="B30" s="10"/>
    </row>
  </sheetData>
  <mergeCells count="2">
    <mergeCell ref="A1:B1"/>
    <mergeCell ref="A30:B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D1296-FD0B-451D-8D0B-AC868565FE51}">
  <dimension ref="A1:C26"/>
  <sheetViews>
    <sheetView workbookViewId="0">
      <selection sqref="A1:B1"/>
    </sheetView>
  </sheetViews>
  <sheetFormatPr defaultRowHeight="15" x14ac:dyDescent="0.25"/>
  <cols>
    <col min="1" max="1" width="39.28515625" customWidth="1"/>
    <col min="2" max="2" width="26.42578125" customWidth="1"/>
    <col min="3" max="3" width="23.5703125" customWidth="1"/>
  </cols>
  <sheetData>
    <row r="1" spans="1:3" ht="18" x14ac:dyDescent="0.25">
      <c r="A1" s="11" t="s">
        <v>69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56</v>
      </c>
      <c r="B5" s="4"/>
    </row>
    <row r="6" spans="1:3" x14ac:dyDescent="0.25">
      <c r="A6" s="3" t="s">
        <v>70</v>
      </c>
      <c r="B6" s="6">
        <f>28000</f>
        <v>28000</v>
      </c>
      <c r="C6" s="6">
        <f>23200</f>
        <v>23200</v>
      </c>
    </row>
    <row r="7" spans="1:3" x14ac:dyDescent="0.25">
      <c r="A7" s="3" t="s">
        <v>68</v>
      </c>
      <c r="B7" s="7">
        <f>(B5)+(B6)</f>
        <v>28000</v>
      </c>
      <c r="C7" s="7">
        <f>(C5)+(C6)</f>
        <v>23200</v>
      </c>
    </row>
    <row r="8" spans="1:3" x14ac:dyDescent="0.25">
      <c r="A8" s="3" t="s">
        <v>71</v>
      </c>
      <c r="B8" s="4"/>
      <c r="C8" s="4"/>
    </row>
    <row r="9" spans="1:3" x14ac:dyDescent="0.25">
      <c r="A9" s="3" t="s">
        <v>72</v>
      </c>
      <c r="B9" s="6">
        <f>233</f>
        <v>233</v>
      </c>
      <c r="C9" s="6">
        <f>52</f>
        <v>52</v>
      </c>
    </row>
    <row r="10" spans="1:3" x14ac:dyDescent="0.25">
      <c r="A10" s="3" t="s">
        <v>73</v>
      </c>
      <c r="B10" s="6">
        <f>1800</f>
        <v>1800</v>
      </c>
      <c r="C10" s="6">
        <f>1800</f>
        <v>1800</v>
      </c>
    </row>
    <row r="11" spans="1:3" x14ac:dyDescent="0.25">
      <c r="A11" s="3" t="s">
        <v>74</v>
      </c>
      <c r="B11" s="6">
        <f>1930.99</f>
        <v>1930.99</v>
      </c>
      <c r="C11" s="6">
        <f>1932</f>
        <v>1932</v>
      </c>
    </row>
    <row r="12" spans="1:3" x14ac:dyDescent="0.25">
      <c r="A12" s="3" t="s">
        <v>75</v>
      </c>
      <c r="B12" s="6">
        <f>199</f>
        <v>199</v>
      </c>
      <c r="C12" s="6">
        <f>199</f>
        <v>199</v>
      </c>
    </row>
    <row r="13" spans="1:3" x14ac:dyDescent="0.25">
      <c r="A13" s="3" t="s">
        <v>76</v>
      </c>
      <c r="B13" s="6">
        <f>7800</f>
        <v>7800</v>
      </c>
      <c r="C13" s="6">
        <f>9600</f>
        <v>9600</v>
      </c>
    </row>
    <row r="14" spans="1:3" x14ac:dyDescent="0.25">
      <c r="A14" s="3" t="s">
        <v>77</v>
      </c>
      <c r="B14" s="7">
        <f>(((((B8)+(B9))+(B10))+(B11))+(B12))+(B13)</f>
        <v>11962.99</v>
      </c>
      <c r="C14" s="7">
        <f>(((((C8)+(C9))+(C10))+(C11))+(C12))+(C13)</f>
        <v>13583</v>
      </c>
    </row>
    <row r="15" spans="1:3" x14ac:dyDescent="0.25">
      <c r="A15" s="3" t="s">
        <v>78</v>
      </c>
      <c r="B15" s="6">
        <f>5523.35</f>
        <v>5523.35</v>
      </c>
      <c r="C15" s="6"/>
    </row>
    <row r="16" spans="1:3" x14ac:dyDescent="0.25">
      <c r="A16" s="3" t="s">
        <v>11</v>
      </c>
      <c r="B16" s="7">
        <f>((B7)+(B14))+(B15)</f>
        <v>45486.34</v>
      </c>
      <c r="C16" s="7">
        <f>((C7)+(C14))+(C15)</f>
        <v>36783</v>
      </c>
    </row>
    <row r="18" spans="1:3" x14ac:dyDescent="0.25">
      <c r="A18" s="3" t="s">
        <v>79</v>
      </c>
      <c r="B18" s="4"/>
      <c r="C18" s="4"/>
    </row>
    <row r="19" spans="1:3" x14ac:dyDescent="0.25">
      <c r="A19" s="3" t="s">
        <v>80</v>
      </c>
      <c r="B19" s="4"/>
      <c r="C19" s="4"/>
    </row>
    <row r="20" spans="1:3" x14ac:dyDescent="0.25">
      <c r="A20" s="3" t="s">
        <v>81</v>
      </c>
      <c r="B20" s="6">
        <f>74.66</f>
        <v>74.66</v>
      </c>
      <c r="C20" s="6"/>
    </row>
    <row r="21" spans="1:3" x14ac:dyDescent="0.25">
      <c r="A21" s="3" t="s">
        <v>82</v>
      </c>
      <c r="B21" s="7">
        <f>(B19)+(B20)</f>
        <v>74.66</v>
      </c>
      <c r="C21" s="7">
        <f>(C19)+(C20)</f>
        <v>0</v>
      </c>
    </row>
    <row r="22" spans="1:3" x14ac:dyDescent="0.25">
      <c r="A22" s="3" t="s">
        <v>83</v>
      </c>
      <c r="B22" s="7">
        <f>B21</f>
        <v>74.66</v>
      </c>
      <c r="C22" s="7">
        <f>C21</f>
        <v>0</v>
      </c>
    </row>
    <row r="23" spans="1:3" x14ac:dyDescent="0.25">
      <c r="A23" s="3" t="s">
        <v>123</v>
      </c>
      <c r="B23" s="7">
        <f>B16+B22</f>
        <v>45561</v>
      </c>
      <c r="C23" s="7">
        <f>C16+C22</f>
        <v>36783</v>
      </c>
    </row>
    <row r="25" spans="1:3" ht="28.5" customHeight="1" x14ac:dyDescent="0.25">
      <c r="A25" s="3" t="s">
        <v>127</v>
      </c>
      <c r="C25" s="6">
        <v>20000</v>
      </c>
    </row>
    <row r="26" spans="1:3" x14ac:dyDescent="0.25">
      <c r="A26" s="9"/>
      <c r="B26" s="10"/>
    </row>
  </sheetData>
  <mergeCells count="2">
    <mergeCell ref="A1:B1"/>
    <mergeCell ref="A26:B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E258B-456C-45FC-A9F5-0CE35A09B496}">
  <dimension ref="A1:C21"/>
  <sheetViews>
    <sheetView workbookViewId="0">
      <selection sqref="A1:B1"/>
    </sheetView>
  </sheetViews>
  <sheetFormatPr defaultRowHeight="15" x14ac:dyDescent="0.25"/>
  <cols>
    <col min="1" max="1" width="36.140625" customWidth="1"/>
    <col min="2" max="2" width="26.140625" customWidth="1"/>
    <col min="3" max="3" width="22.7109375" customWidth="1"/>
  </cols>
  <sheetData>
    <row r="1" spans="1:3" ht="18" x14ac:dyDescent="0.25">
      <c r="A1" s="11" t="s">
        <v>84</v>
      </c>
      <c r="B1" s="10"/>
    </row>
    <row r="2" spans="1:3" x14ac:dyDescent="0.25">
      <c r="A2" s="12"/>
      <c r="B2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1</v>
      </c>
      <c r="B5" s="4"/>
    </row>
    <row r="6" spans="1:3" x14ac:dyDescent="0.25">
      <c r="A6" s="3" t="s">
        <v>85</v>
      </c>
      <c r="B6" s="6">
        <f>80800</f>
        <v>80800</v>
      </c>
      <c r="C6" s="6">
        <f>86500</f>
        <v>86500</v>
      </c>
    </row>
    <row r="7" spans="1:3" x14ac:dyDescent="0.25">
      <c r="A7" s="3" t="s">
        <v>86</v>
      </c>
      <c r="B7" s="6">
        <f>1500</f>
        <v>1500</v>
      </c>
      <c r="C7" s="6">
        <f>1500</f>
        <v>1500</v>
      </c>
    </row>
    <row r="8" spans="1:3" x14ac:dyDescent="0.25">
      <c r="A8" s="3" t="s">
        <v>87</v>
      </c>
      <c r="B8" s="6">
        <f>23860</f>
        <v>23860</v>
      </c>
      <c r="C8" s="6">
        <f>19250</f>
        <v>19250</v>
      </c>
    </row>
    <row r="9" spans="1:3" x14ac:dyDescent="0.25">
      <c r="A9" s="3" t="s">
        <v>88</v>
      </c>
      <c r="B9" s="6">
        <f>2000</f>
        <v>2000</v>
      </c>
      <c r="C9" s="6">
        <f>2000</f>
        <v>2000</v>
      </c>
    </row>
    <row r="10" spans="1:3" x14ac:dyDescent="0.25">
      <c r="A10" s="3" t="s">
        <v>89</v>
      </c>
      <c r="B10" s="6">
        <f>400</f>
        <v>400</v>
      </c>
      <c r="C10" s="6">
        <f>500</f>
        <v>500</v>
      </c>
    </row>
    <row r="11" spans="1:3" x14ac:dyDescent="0.25">
      <c r="A11" s="3" t="s">
        <v>90</v>
      </c>
      <c r="B11" s="6">
        <f>9439</f>
        <v>9439</v>
      </c>
      <c r="C11" s="6">
        <f>8000</f>
        <v>8000</v>
      </c>
    </row>
    <row r="12" spans="1:3" x14ac:dyDescent="0.25">
      <c r="A12" s="3" t="s">
        <v>128</v>
      </c>
      <c r="B12" s="6"/>
      <c r="C12" s="6">
        <f>18711</f>
        <v>18711</v>
      </c>
    </row>
    <row r="13" spans="1:3" x14ac:dyDescent="0.25">
      <c r="A13" s="3" t="s">
        <v>10</v>
      </c>
      <c r="B13" s="7">
        <f>((((((B5)+(B6))+(B7))+(B8))+(B9))+(B10))+(B11)</f>
        <v>117999</v>
      </c>
      <c r="C13" s="7">
        <f>((((((C5)+(C6))+(C7))+(C8))+(C9))+(C10))+(C11)+(C12)</f>
        <v>136461</v>
      </c>
    </row>
    <row r="14" spans="1:3" x14ac:dyDescent="0.25">
      <c r="A14" s="3" t="s">
        <v>91</v>
      </c>
      <c r="B14" s="6">
        <v>3000</v>
      </c>
      <c r="C14" s="6">
        <v>4000</v>
      </c>
    </row>
    <row r="15" spans="1:3" x14ac:dyDescent="0.25">
      <c r="A15" s="3" t="s">
        <v>11</v>
      </c>
      <c r="B15" s="7">
        <f>(B13)+(B14)</f>
        <v>120999</v>
      </c>
      <c r="C15" s="7">
        <f>(C13)+(C14)</f>
        <v>140461</v>
      </c>
    </row>
    <row r="18" spans="1:2" x14ac:dyDescent="0.25">
      <c r="A18" s="3"/>
      <c r="B18" s="4"/>
    </row>
    <row r="21" spans="1:2" x14ac:dyDescent="0.25">
      <c r="A21" s="9"/>
      <c r="B21" s="10"/>
    </row>
  </sheetData>
  <mergeCells count="3">
    <mergeCell ref="A1:B1"/>
    <mergeCell ref="A2:B2"/>
    <mergeCell ref="A21:B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DD2F-D5ED-4CE5-992F-10FC74716EB9}">
  <dimension ref="A1:C26"/>
  <sheetViews>
    <sheetView workbookViewId="0">
      <selection sqref="A1:B1"/>
    </sheetView>
  </sheetViews>
  <sheetFormatPr defaultRowHeight="15" x14ac:dyDescent="0.25"/>
  <cols>
    <col min="1" max="1" width="36.140625" customWidth="1"/>
    <col min="2" max="2" width="27.140625" customWidth="1"/>
    <col min="3" max="3" width="19.42578125" customWidth="1"/>
  </cols>
  <sheetData>
    <row r="1" spans="1:3" ht="18" x14ac:dyDescent="0.25">
      <c r="A1" s="11" t="s">
        <v>92</v>
      </c>
      <c r="B1" s="10"/>
    </row>
    <row r="3" spans="1:3" x14ac:dyDescent="0.25">
      <c r="A3" s="1"/>
      <c r="B3" s="2">
        <v>2025</v>
      </c>
      <c r="C3" s="2">
        <v>2026</v>
      </c>
    </row>
    <row r="4" spans="1:3" x14ac:dyDescent="0.25">
      <c r="A4" s="3" t="s">
        <v>0</v>
      </c>
      <c r="B4" s="4"/>
    </row>
    <row r="5" spans="1:3" x14ac:dyDescent="0.25">
      <c r="A5" s="3" t="s">
        <v>93</v>
      </c>
      <c r="B5" s="4"/>
    </row>
    <row r="6" spans="1:3" x14ac:dyDescent="0.25">
      <c r="A6" s="3" t="s">
        <v>94</v>
      </c>
      <c r="B6" s="6">
        <f>452970</f>
        <v>452970</v>
      </c>
      <c r="C6" s="6">
        <f>446321</f>
        <v>446321</v>
      </c>
    </row>
    <row r="7" spans="1:3" x14ac:dyDescent="0.25">
      <c r="A7" s="3" t="s">
        <v>95</v>
      </c>
      <c r="B7" s="6">
        <f>25265</f>
        <v>25265</v>
      </c>
      <c r="C7" s="6">
        <f>29028</f>
        <v>29028</v>
      </c>
    </row>
    <row r="8" spans="1:3" x14ac:dyDescent="0.25">
      <c r="A8" s="3" t="s">
        <v>96</v>
      </c>
      <c r="B8" s="6">
        <f>86004</f>
        <v>86004</v>
      </c>
      <c r="C8" s="6">
        <f>121000</f>
        <v>121000</v>
      </c>
    </row>
    <row r="9" spans="1:3" x14ac:dyDescent="0.25">
      <c r="A9" s="3" t="s">
        <v>97</v>
      </c>
      <c r="B9" s="6">
        <f>3677</f>
        <v>3677</v>
      </c>
      <c r="C9" s="6">
        <f>3677</f>
        <v>3677</v>
      </c>
    </row>
    <row r="10" spans="1:3" x14ac:dyDescent="0.25">
      <c r="A10" s="3" t="s">
        <v>98</v>
      </c>
      <c r="B10" s="7">
        <f>((((B5)+(B6))+(B7))+(B8))+(B9)</f>
        <v>567916</v>
      </c>
      <c r="C10" s="7">
        <f>((((C5)+(C6))+(C7))+(C8))+(C9)</f>
        <v>600026</v>
      </c>
    </row>
    <row r="11" spans="1:3" x14ac:dyDescent="0.25">
      <c r="A11" s="3" t="s">
        <v>99</v>
      </c>
      <c r="B11" s="6">
        <f>1000</f>
        <v>1000</v>
      </c>
      <c r="C11" s="6">
        <f>1000</f>
        <v>1000</v>
      </c>
    </row>
    <row r="12" spans="1:3" x14ac:dyDescent="0.25">
      <c r="A12" s="3" t="s">
        <v>100</v>
      </c>
      <c r="B12" s="6">
        <f>5600</f>
        <v>5600</v>
      </c>
      <c r="C12" s="6">
        <f>5000</f>
        <v>5000</v>
      </c>
    </row>
    <row r="13" spans="1:3" x14ac:dyDescent="0.25">
      <c r="A13" s="3" t="s">
        <v>101</v>
      </c>
      <c r="B13" s="6">
        <f>4500</f>
        <v>4500</v>
      </c>
      <c r="C13" s="6">
        <f>8000</f>
        <v>8000</v>
      </c>
    </row>
    <row r="14" spans="1:3" x14ac:dyDescent="0.25">
      <c r="A14" s="3" t="s">
        <v>102</v>
      </c>
      <c r="B14" s="4"/>
      <c r="C14" s="4"/>
    </row>
    <row r="15" spans="1:3" x14ac:dyDescent="0.25">
      <c r="A15" s="3" t="s">
        <v>103</v>
      </c>
      <c r="B15" s="6">
        <v>78386</v>
      </c>
      <c r="C15" s="6">
        <f>93517</f>
        <v>93517</v>
      </c>
    </row>
    <row r="16" spans="1:3" x14ac:dyDescent="0.25">
      <c r="A16" s="3" t="s">
        <v>104</v>
      </c>
      <c r="B16" s="6">
        <f>42144</f>
        <v>42144</v>
      </c>
      <c r="C16" s="6">
        <f>43384</f>
        <v>43384</v>
      </c>
    </row>
    <row r="17" spans="1:3" x14ac:dyDescent="0.25">
      <c r="A17" s="3" t="s">
        <v>105</v>
      </c>
      <c r="B17" s="6">
        <f>1485</f>
        <v>1485</v>
      </c>
      <c r="C17" s="6">
        <f>1656</f>
        <v>1656</v>
      </c>
    </row>
    <row r="18" spans="1:3" x14ac:dyDescent="0.25">
      <c r="A18" s="3" t="s">
        <v>106</v>
      </c>
      <c r="B18" s="6">
        <f>1394</f>
        <v>1394</v>
      </c>
      <c r="C18" s="6">
        <f>1100</f>
        <v>1100</v>
      </c>
    </row>
    <row r="19" spans="1:3" x14ac:dyDescent="0.25">
      <c r="A19" s="3" t="s">
        <v>107</v>
      </c>
      <c r="B19" s="7">
        <f>((((B14)+(B15))+(B16))+(B17))+(B18)</f>
        <v>123409</v>
      </c>
      <c r="C19" s="7">
        <f>((((C14)+(C15))+(C16))+(C17))+(C18)</f>
        <v>139657</v>
      </c>
    </row>
    <row r="20" spans="1:3" x14ac:dyDescent="0.25">
      <c r="A20" s="3" t="s">
        <v>11</v>
      </c>
      <c r="B20" s="7">
        <f>((((B10)+(B11))+(B12))+(B13))+(B19)</f>
        <v>702425</v>
      </c>
      <c r="C20" s="7">
        <f>((((C10)+(C11))+(C12))+(C13))+(C19)</f>
        <v>753683</v>
      </c>
    </row>
    <row r="23" spans="1:3" x14ac:dyDescent="0.25">
      <c r="A23" s="3"/>
      <c r="B23" s="4"/>
    </row>
    <row r="26" spans="1:3" x14ac:dyDescent="0.25">
      <c r="A26" s="9"/>
      <c r="B26" s="10"/>
    </row>
  </sheetData>
  <mergeCells count="2">
    <mergeCell ref="A1:B1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Children</vt:lpstr>
      <vt:lpstr>Church Business</vt:lpstr>
      <vt:lpstr>Deacons</vt:lpstr>
      <vt:lpstr>Discipleship</vt:lpstr>
      <vt:lpstr>Elders</vt:lpstr>
      <vt:lpstr>Facilities</vt:lpstr>
      <vt:lpstr>Finance</vt:lpstr>
      <vt:lpstr>Outreach</vt:lpstr>
      <vt:lpstr>Personnel</vt:lpstr>
      <vt:lpstr>Worship</vt:lpstr>
      <vt:lpstr>Youth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NSCBC Bookkeeper</cp:lastModifiedBy>
  <dcterms:created xsi:type="dcterms:W3CDTF">2024-11-25T19:21:28Z</dcterms:created>
  <dcterms:modified xsi:type="dcterms:W3CDTF">2025-12-10T18:11:21Z</dcterms:modified>
</cp:coreProperties>
</file>